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95" windowWidth="11700" windowHeight="5430" tabRatio="943" activeTab="0"/>
  </bookViews>
  <sheets>
    <sheet name="Tab Descriptions" sheetId="1" r:id="rId1"/>
    <sheet name="Distrib Class EPMC Rates &amp; Rev" sheetId="2" r:id="rId2"/>
    <sheet name="Distrib Revenue Allocation" sheetId="3" r:id="rId3"/>
    <sheet name="Distrib Allocation Factors" sheetId="4" r:id="rId4"/>
    <sheet name="Distrib Marginal Revenues" sheetId="5" r:id="rId5"/>
    <sheet name="Distrib Marginal Cost Summary" sheetId="6" r:id="rId6"/>
    <sheet name="Distrib System Determinants" sheetId="7" r:id="rId7"/>
    <sheet name="Distrib Revenue Requirement" sheetId="8" r:id="rId8"/>
  </sheets>
  <externalReferences>
    <externalReference r:id="rId11"/>
    <externalReference r:id="rId12"/>
    <externalReference r:id="rId13"/>
  </externalReferences>
  <definedNames>
    <definedName name="_______ddd5" localSheetId="0" hidden="1">{#N/A,#N/A,FALSE,"trates"}</definedName>
    <definedName name="_______ddd5" hidden="1">{#N/A,#N/A,FALSE,"trates"}</definedName>
    <definedName name="______ddd5" localSheetId="0" hidden="1">{#N/A,#N/A,FALSE,"trates"}</definedName>
    <definedName name="______ddd5" hidden="1">{#N/A,#N/A,FALSE,"trates"}</definedName>
    <definedName name="_____ddd5" localSheetId="1" hidden="1">{#N/A,#N/A,FALSE,"trates"}</definedName>
    <definedName name="_____ddd5" localSheetId="0" hidden="1">{#N/A,#N/A,FALSE,"trates"}</definedName>
    <definedName name="_____ddd5" hidden="1">{#N/A,#N/A,FALSE,"trates"}</definedName>
    <definedName name="____ddd5" localSheetId="1" hidden="1">{#N/A,#N/A,FALSE,"trates"}</definedName>
    <definedName name="____ddd5" localSheetId="0" hidden="1">{#N/A,#N/A,FALSE,"trates"}</definedName>
    <definedName name="____ddd5" hidden="1">{#N/A,#N/A,FALSE,"trates"}</definedName>
    <definedName name="___ddd5" localSheetId="1" hidden="1">{#N/A,#N/A,FALSE,"trates"}</definedName>
    <definedName name="___ddd5" localSheetId="0" hidden="1">{#N/A,#N/A,FALSE,"trates"}</definedName>
    <definedName name="___ddd5" hidden="1">{#N/A,#N/A,FALSE,"trates"}</definedName>
    <definedName name="__ddd5" localSheetId="1" hidden="1">{#N/A,#N/A,FALSE,"trates"}</definedName>
    <definedName name="__ddd5" localSheetId="0" hidden="1">{#N/A,#N/A,FALSE,"trates"}</definedName>
    <definedName name="__ddd5" hidden="1">{#N/A,#N/A,FALSE,"trates"}</definedName>
    <definedName name="_AtRisk_SimSetting_AutomaticallyGenerateReports" hidden="1">FALSE</definedName>
    <definedName name="_AtRisk_SimSetting_AutomaticResultsDisplayMode" hidden="1">1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16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1</definedName>
    <definedName name="_AtRisk_SimSetting_StdRecalcWithoutRiskStatic" hidden="1">0</definedName>
    <definedName name="_AtRisk_SimSetting_StdRecalcWithoutRiskStaticPercentile" hidden="1">0.5</definedName>
    <definedName name="_ddd5" localSheetId="1" hidden="1">{#N/A,#N/A,FALSE,"trates"}</definedName>
    <definedName name="_ddd5" localSheetId="0" hidden="1">{#N/A,#N/A,FALSE,"trates"}</definedName>
    <definedName name="_ddd5" hidden="1">{#N/A,#N/A,FALSE,"trates"}</definedName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MatInverse_In" localSheetId="0" hidden="1">#REF!</definedName>
    <definedName name="_MatInverse_In" hidden="1">#REF!</definedName>
    <definedName name="_MatMult_A" localSheetId="0" hidden="1">#REF!</definedName>
    <definedName name="_MatMult_A" hidden="1">#REF!</definedName>
    <definedName name="_MatMult_AxB" localSheetId="0" hidden="1">#REF!</definedName>
    <definedName name="_MatMult_AxB" hidden="1">#REF!</definedName>
    <definedName name="_MatMult_B" localSheetId="0" hidden="1">#REF!</definedName>
    <definedName name="_MatMult_B" hidden="1">#REF!</definedName>
    <definedName name="_Order1" hidden="1">255</definedName>
    <definedName name="_Order2" hidden="1">0</definedName>
    <definedName name="_Parse_In" localSheetId="0" hidden="1">#REF!</definedName>
    <definedName name="_Parse_In" hidden="1">#REF!</definedName>
    <definedName name="_Parse_Out" localSheetId="0" hidden="1">#REF!</definedName>
    <definedName name="_Parse_Out" hidden="1">#REF!</definedName>
    <definedName name="_Sort" localSheetId="0" hidden="1">#REF!</definedName>
    <definedName name="_Sort" hidden="1">#REF!</definedName>
    <definedName name="anscount" hidden="1">1</definedName>
    <definedName name="dddd">'[1]Level2'!$K$2</definedName>
    <definedName name="dummy1" localSheetId="1" hidden="1">{#N/A,#N/A,FALSE,"trates"}</definedName>
    <definedName name="dummy1" localSheetId="0" hidden="1">{#N/A,#N/A,FALSE,"trates"}</definedName>
    <definedName name="dummy1" hidden="1">{#N/A,#N/A,FALSE,"trates"}</definedName>
    <definedName name="dummy2" localSheetId="1" hidden="1">{#N/A,#N/A,FALSE,"trates"}</definedName>
    <definedName name="dummy2" localSheetId="0" hidden="1">{#N/A,#N/A,FALSE,"trates"}</definedName>
    <definedName name="dummy2" hidden="1">{#N/A,#N/A,FALSE,"trates"}</definedName>
    <definedName name="dummy3" localSheetId="1" hidden="1">{#N/A,#N/A,FALSE,"trates"}</definedName>
    <definedName name="dummy3" localSheetId="0" hidden="1">{#N/A,#N/A,FALSE,"trates"}</definedName>
    <definedName name="dummy3" hidden="1">{#N/A,#N/A,FALSE,"trates"}</definedName>
    <definedName name="dummy4" localSheetId="1" hidden="1">{#N/A,#N/A,FALSE,"trates"}</definedName>
    <definedName name="dummy4" localSheetId="0" hidden="1">{#N/A,#N/A,FALSE,"trates"}</definedName>
    <definedName name="dummy4" hidden="1">{#N/A,#N/A,FALSE,"trates"}</definedName>
    <definedName name="dummy5" localSheetId="1" hidden="1">{#N/A,#N/A,FALSE,"trates"}</definedName>
    <definedName name="dummy5" localSheetId="0" hidden="1">{#N/A,#N/A,FALSE,"trates"}</definedName>
    <definedName name="dummy5" hidden="1">{#N/A,#N/A,FALSE,"trates"}</definedName>
    <definedName name="InvoiceType">'[2]Level2'!$K$2</definedName>
    <definedName name="jkl" localSheetId="1" hidden="1">{#N/A,#N/A,FALSE,"trates"}</definedName>
    <definedName name="jkl" localSheetId="0" hidden="1">{#N/A,#N/A,FALSE,"trates"}</definedName>
    <definedName name="jkl" hidden="1">{#N/A,#N/A,FALSE,"trates"}</definedName>
    <definedName name="limcount" hidden="1">1</definedName>
    <definedName name="_xlnm.Print_Area" localSheetId="3">'Distrib Allocation Factors'!$A$4:$I$33</definedName>
    <definedName name="_xlnm.Print_Area" localSheetId="1">'Distrib Class EPMC Rates &amp; Rev'!$A$1:$G$172</definedName>
    <definedName name="_xlnm.Print_Area" localSheetId="5">'Distrib Marginal Cost Summary'!$A$1:$F$51</definedName>
    <definedName name="_xlnm.Print_Area" localSheetId="4">'Distrib Marginal Revenues'!$A$1:$G$79</definedName>
    <definedName name="_xlnm.Print_Area" localSheetId="2">'Distrib Revenue Allocation'!$A$1:$N$51</definedName>
    <definedName name="_xlnm.Print_Area" localSheetId="6">'Distrib System Determinants'!$A$1:$G$96</definedName>
    <definedName name="_xlnm.Print_Area" localSheetId="0">'Tab Descriptions'!$A$1:$D$20</definedName>
    <definedName name="Print_Area_MI" localSheetId="0">#REF!</definedName>
    <definedName name="Print_Area_MI">#REF!</definedName>
    <definedName name="_xlnm.Print_Titles" localSheetId="1">'Distrib Class EPMC Rates &amp; Rev'!$4:$15</definedName>
    <definedName name="RiskAfterRecalcMacro" hidden="1">"'10 Year Model.xls'!RiskSim"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FALSE</definedName>
    <definedName name="RiskMultipleCPUSupportEnabled" hidden="1">FALSE</definedName>
    <definedName name="RiskNumIterations" hidden="1">1000</definedName>
    <definedName name="RiskNumSimulations" hidden="1">1</definedName>
    <definedName name="RiskPauseOnError" hidden="1">FALSE</definedName>
    <definedName name="RiskRunAfterRecalcMacro" hidden="1">TRUE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2</definedName>
    <definedName name="RiskUpdateDisplay" hidden="1">TRUE</definedName>
    <definedName name="RiskUseDifferentSeedForEachSim" hidden="1">FALSE</definedName>
    <definedName name="RiskUseFixedSeed" hidden="1">FALSE</definedName>
    <definedName name="RiskUseMultipleCPUs" hidden="1">FALSE</definedName>
    <definedName name="sencount" hidden="1">2</definedName>
    <definedName name="wrn.BL." localSheetId="1" hidden="1">{#N/A,#N/A,FALSE,"trates"}</definedName>
    <definedName name="wrn.BL." localSheetId="0" hidden="1">{#N/A,#N/A,FALSE,"trates"}</definedName>
    <definedName name="wrn.BL." hidden="1">{#N/A,#N/A,FALSE,"trates"}</definedName>
  </definedNames>
  <calcPr fullCalcOnLoad="1"/>
</workbook>
</file>

<file path=xl/sharedStrings.xml><?xml version="1.0" encoding="utf-8"?>
<sst xmlns="http://schemas.openxmlformats.org/spreadsheetml/2006/main" count="553" uniqueCount="200">
  <si>
    <t>Distribution</t>
  </si>
  <si>
    <t>Marginal</t>
  </si>
  <si>
    <t>Total</t>
  </si>
  <si>
    <t>EPMC</t>
  </si>
  <si>
    <t>Non Marginal</t>
  </si>
  <si>
    <t>Revenue</t>
  </si>
  <si>
    <t>Percentage</t>
  </si>
  <si>
    <t>Factors</t>
  </si>
  <si>
    <t>Allocation</t>
  </si>
  <si>
    <t>Change</t>
  </si>
  <si>
    <t>Line</t>
  </si>
  <si>
    <t>(%)</t>
  </si>
  <si>
    <t>($000)</t>
  </si>
  <si>
    <t>No.</t>
  </si>
  <si>
    <t>Customer Class</t>
  </si>
  <si>
    <t>(A)</t>
  </si>
  <si>
    <t>(B)</t>
  </si>
  <si>
    <t>(C)</t>
  </si>
  <si>
    <t>(D)</t>
  </si>
  <si>
    <t>(E)</t>
  </si>
  <si>
    <t>(F)</t>
  </si>
  <si>
    <t>(G)</t>
  </si>
  <si>
    <t xml:space="preserve">     </t>
  </si>
  <si>
    <t>Customer</t>
  </si>
  <si>
    <t>Secondary</t>
  </si>
  <si>
    <t>Primary</t>
  </si>
  <si>
    <t>Description</t>
  </si>
  <si>
    <t>Transmission</t>
  </si>
  <si>
    <t>Marginal Customer Distribution Revenue Requirement</t>
  </si>
  <si>
    <t>Total Marginal Distribution Revenue Requirement</t>
  </si>
  <si>
    <t>Determinants</t>
  </si>
  <si>
    <t>Residential</t>
  </si>
  <si>
    <t>Rate</t>
  </si>
  <si>
    <t>Demand-Related</t>
  </si>
  <si>
    <t>Current</t>
  </si>
  <si>
    <t>Note:</t>
  </si>
  <si>
    <t>500 - 12 MW</t>
  </si>
  <si>
    <t>&gt; 12 MW</t>
  </si>
  <si>
    <t>Small Commercial</t>
  </si>
  <si>
    <t>Agricultural</t>
  </si>
  <si>
    <t>System</t>
  </si>
  <si>
    <t>Non-Marginal Revenue Requirement</t>
  </si>
  <si>
    <t>GRC Phase 1 Distribution Revenue Requirement:</t>
  </si>
  <si>
    <t>Marginal Distribution Revenue Requirement Allocation</t>
  </si>
  <si>
    <t>Lighting</t>
  </si>
  <si>
    <t>Revenue Requirement</t>
  </si>
  <si>
    <t>Medium/Large Commercial &amp; Industrial</t>
  </si>
  <si>
    <t>Demand-Related Marginal Cost:</t>
  </si>
  <si>
    <t>Customer Marginal Cost:</t>
  </si>
  <si>
    <t>Demand-Related Marginal Cost</t>
  </si>
  <si>
    <t>Feeders &amp; Local Distribution Demand:</t>
  </si>
  <si>
    <t>Substation Demand:</t>
  </si>
  <si>
    <t>Total System Demand-Related Marginal Cost</t>
  </si>
  <si>
    <t>TOTAL SYSTEM MARGINAL COST</t>
  </si>
  <si>
    <t>Feeders &amp; Local Distribution Demand ($/kW/Year)</t>
  </si>
  <si>
    <t>Marginal Cost</t>
  </si>
  <si>
    <t>Customer Marginal Cost ($/Customer-Month)</t>
  </si>
  <si>
    <t>Total Demand-Related Marginal Cost ($/kW/Year)</t>
  </si>
  <si>
    <t>Revenue Allocation Determinants</t>
  </si>
  <si>
    <t>EPMC Allocation Factor</t>
  </si>
  <si>
    <t>Current Distribution Revenue Allocation by Customer Class</t>
  </si>
  <si>
    <t>Factor</t>
  </si>
  <si>
    <t>Distribution Marginal Cost Allocation Factor by Customer Class</t>
  </si>
  <si>
    <t>Uncapped Distribution Revenue Allocation by Customer Class</t>
  </si>
  <si>
    <t>Lighting ($/Lamp/Year)</t>
  </si>
  <si>
    <t>Substation Demand ($/kW/Year)</t>
  </si>
  <si>
    <t>Marginal Demand-Related Distribution Revenue Requirement</t>
  </si>
  <si>
    <t>Total Distribution</t>
  </si>
  <si>
    <t>Distribution Loss Factors</t>
  </si>
  <si>
    <t xml:space="preserve">     forecasted number of customers by class and by voltage level. </t>
  </si>
  <si>
    <r>
      <t xml:space="preserve">(2) </t>
    </r>
    <r>
      <rPr>
        <b/>
        <sz val="10"/>
        <rFont val="Arial"/>
        <family val="2"/>
      </rPr>
      <t>Feeder &amp; Local Distribution Demand Cost by Customer Class</t>
    </r>
    <r>
      <rPr>
        <sz val="10"/>
        <rFont val="Arial"/>
        <family val="2"/>
      </rPr>
      <t>: equals the unit marginal feeder &amp; local distribution demand cost</t>
    </r>
  </si>
  <si>
    <r>
      <t xml:space="preserve">(1) </t>
    </r>
    <r>
      <rPr>
        <b/>
        <sz val="10"/>
        <rFont val="Arial"/>
        <family val="2"/>
      </rPr>
      <t>Customer Marginal Cost Revenue</t>
    </r>
    <r>
      <rPr>
        <sz val="10"/>
        <rFont val="Arial"/>
        <family val="2"/>
      </rPr>
      <t>: reflects customer-related distribution marginal costs.</t>
    </r>
  </si>
  <si>
    <t>Total-System</t>
  </si>
  <si>
    <t>Circuit Effective Demand Factors</t>
  </si>
  <si>
    <t>Substation Effective Demand Factors</t>
  </si>
  <si>
    <t>&gt;5 - 20 kW</t>
  </si>
  <si>
    <t>&gt;50 kW</t>
  </si>
  <si>
    <t>≤500 kW</t>
  </si>
  <si>
    <t>0 - 5 kW</t>
  </si>
  <si>
    <t xml:space="preserve">&gt;20 - 50 kW </t>
  </si>
  <si>
    <r>
      <rPr>
        <b/>
        <sz val="12"/>
        <rFont val="Calibri"/>
        <family val="2"/>
      </rPr>
      <t>≤</t>
    </r>
    <r>
      <rPr>
        <b/>
        <sz val="12"/>
        <rFont val="Arial"/>
        <family val="2"/>
      </rPr>
      <t>20 kW</t>
    </r>
  </si>
  <si>
    <t>&gt;20 kW</t>
  </si>
  <si>
    <r>
      <rPr>
        <sz val="12"/>
        <rFont val="Calibri"/>
        <family val="2"/>
      </rPr>
      <t>≤</t>
    </r>
    <r>
      <rPr>
        <sz val="12"/>
        <rFont val="Arial"/>
        <family val="2"/>
      </rPr>
      <t>20 kW</t>
    </r>
  </si>
  <si>
    <t>System-Total</t>
  </si>
  <si>
    <t>Secondary Total</t>
  </si>
  <si>
    <t>Primary Total</t>
  </si>
  <si>
    <t>Check</t>
  </si>
  <si>
    <t>Total - Small Commercial</t>
  </si>
  <si>
    <t>Total - Residential</t>
  </si>
  <si>
    <t>Total - Medium/Large Commercial &amp; Industrial</t>
  </si>
  <si>
    <t xml:space="preserve"> Primary Total</t>
  </si>
  <si>
    <t>Total - Lighting</t>
  </si>
  <si>
    <t>Total - System</t>
  </si>
  <si>
    <t>Total - Agricultural</t>
  </si>
  <si>
    <t>Distribution Marginal Cost Revenues by Customer Class</t>
  </si>
  <si>
    <t>Distribution Marginal Unit Costs by Customer Class</t>
  </si>
  <si>
    <t>Goal Seek</t>
  </si>
  <si>
    <t>Difference</t>
  </si>
  <si>
    <t>Customer Marginal Cost ($/Lamp-Month)</t>
  </si>
  <si>
    <t>Lighting Lamp Count</t>
  </si>
  <si>
    <t xml:space="preserve">     per year multiplied by the total non-coincident demand and the product of the class' share of circuit demand and applicable loss factors. </t>
  </si>
  <si>
    <r>
      <t xml:space="preserve">(3) </t>
    </r>
    <r>
      <rPr>
        <b/>
        <sz val="10"/>
        <rFont val="Arial"/>
        <family val="2"/>
      </rPr>
      <t>Substation Demand Cost by Customer Class</t>
    </r>
    <r>
      <rPr>
        <sz val="10"/>
        <rFont val="Arial"/>
        <family val="2"/>
      </rPr>
      <t xml:space="preserve">: equals the unit marginal substation demand cost per year multiplied by the </t>
    </r>
  </si>
  <si>
    <t xml:space="preserve">     total non-coincident demand and the product of the class' share of substation demand and applicable loss factors. </t>
  </si>
  <si>
    <t>Transmission Total</t>
  </si>
  <si>
    <r>
      <t xml:space="preserve">(2) </t>
    </r>
    <r>
      <rPr>
        <b/>
        <sz val="10"/>
        <rFont val="Arial"/>
        <family val="2"/>
      </rPr>
      <t>Demand-Related Marginal Cost Revenue</t>
    </r>
    <r>
      <rPr>
        <sz val="10"/>
        <rFont val="Arial"/>
        <family val="2"/>
      </rPr>
      <t>: reflects feeder &amp; local distribution and substation demand-related distribution marginal costs.</t>
    </r>
  </si>
  <si>
    <r>
      <t xml:space="preserve">(1) </t>
    </r>
    <r>
      <rPr>
        <b/>
        <sz val="10"/>
        <rFont val="Arial"/>
        <family val="2"/>
      </rPr>
      <t>Updated Distribution Revenue Allocation</t>
    </r>
    <r>
      <rPr>
        <sz val="10"/>
        <rFont val="Arial"/>
        <family val="2"/>
      </rPr>
      <t>: allocation of the current distribution revenue requirement based on the marginal Distribution Allocation Factors presented in this Application.</t>
    </r>
  </si>
  <si>
    <t>Tab Descriptions</t>
  </si>
  <si>
    <t>Tab Name</t>
  </si>
  <si>
    <t>Tab Description</t>
  </si>
  <si>
    <t>Description of Tabs in Workpaper</t>
  </si>
  <si>
    <t>Distrib Class EPMC Rates &amp; Rev</t>
  </si>
  <si>
    <t>Distrib Revenue Allocation</t>
  </si>
  <si>
    <t>Distribution Revenue Allocation by Customer Class</t>
  </si>
  <si>
    <t>Distrib Allocation Factors</t>
  </si>
  <si>
    <t>Distrib Marginal Revenues</t>
  </si>
  <si>
    <t>Distribution Marginal Revenues by Customer Class</t>
  </si>
  <si>
    <t>Distrib Marginal Cost Summary</t>
  </si>
  <si>
    <t>Distrib System Determinants</t>
  </si>
  <si>
    <r>
      <t xml:space="preserve">(1) </t>
    </r>
    <r>
      <rPr>
        <b/>
        <sz val="10"/>
        <rFont val="Arial"/>
        <family val="2"/>
      </rPr>
      <t>Current Total Distribution Revenue Requirement</t>
    </r>
    <r>
      <rPr>
        <sz val="10"/>
        <rFont val="Arial"/>
        <family val="2"/>
      </rPr>
      <t>: Current Total Distribution Revenue Requirement is the distribution revenues</t>
    </r>
  </si>
  <si>
    <r>
      <t xml:space="preserve">(4) </t>
    </r>
    <r>
      <rPr>
        <b/>
        <sz val="10"/>
        <rFont val="Arial"/>
        <family val="2"/>
      </rPr>
      <t>Distribution Loss Factors</t>
    </r>
    <r>
      <rPr>
        <sz val="10"/>
        <rFont val="Arial"/>
        <family val="2"/>
      </rPr>
      <t xml:space="preserve">: loss factors developed based on SDG&amp;E's distribution load profiles. </t>
    </r>
  </si>
  <si>
    <t>(2) Input data in blue font comes from a separate source file.</t>
  </si>
  <si>
    <t>Total Based on Dist Planning Forecast Circuit Load</t>
  </si>
  <si>
    <t>Total Based on Dist Planning Forecast Substation Load</t>
  </si>
  <si>
    <t xml:space="preserve">     Distribution Demand and Substation Demand Unit Marginal Costs are from the direct testimony workpapers of SDG&amp;E witness</t>
  </si>
  <si>
    <r>
      <t xml:space="preserve">(1) </t>
    </r>
    <r>
      <rPr>
        <b/>
        <sz val="10"/>
        <rFont val="Arial"/>
        <family val="2"/>
      </rPr>
      <t>Customer Marginal Cost by Customer Class</t>
    </r>
    <r>
      <rPr>
        <sz val="10"/>
        <rFont val="Arial"/>
        <family val="2"/>
      </rPr>
      <t>: equals the class unit marginal customer cost per year multiplied by the TY 2020</t>
    </r>
  </si>
  <si>
    <r>
      <t xml:space="preserve">(1) </t>
    </r>
    <r>
      <rPr>
        <b/>
        <sz val="10"/>
        <rFont val="Arial"/>
        <family val="2"/>
      </rPr>
      <t>Forecasted 2020 Customers (Average)</t>
    </r>
    <r>
      <rPr>
        <sz val="10"/>
        <rFont val="Arial"/>
        <family val="2"/>
      </rPr>
      <t>: 2020 customer forecasts developed consistent with the customer forecast in the 2019 GRC Phase 1 (A.17-10-007) Direct Testimony of Kenneth E.</t>
    </r>
  </si>
  <si>
    <t xml:space="preserve">     Schiermeyer, Exhibit SDG&amp;E-38.</t>
  </si>
  <si>
    <r>
      <t xml:space="preserve">(3) </t>
    </r>
    <r>
      <rPr>
        <b/>
        <sz val="10"/>
        <rFont val="Arial"/>
        <family val="2"/>
      </rPr>
      <t>Circuit and Substation Effective Demand Factors</t>
    </r>
    <r>
      <rPr>
        <sz val="10"/>
        <rFont val="Arial"/>
        <family val="2"/>
      </rPr>
      <t>: the class' contribution to circuit and substation demand are based on 3-year average of 2014-2016 demands at the SDG&amp;E circuits and substations.</t>
    </r>
  </si>
  <si>
    <t>Non-Coincident Demand-Related Marginal Cost ($/Non-Coincident kW)</t>
  </si>
  <si>
    <t>Feeder &amp; Local Distribution</t>
  </si>
  <si>
    <t>Substation</t>
  </si>
  <si>
    <t>Forecasted On-Peak Related Marginal Distribution Capacity Cost Percentages</t>
  </si>
  <si>
    <t>Non-Coincident Demand/On-Peak Demand Spilt:</t>
  </si>
  <si>
    <t>Forecasted Average Marginal Distribution Capacity Related % of Total Distribution Demand Costs</t>
  </si>
  <si>
    <t xml:space="preserve">      capacity costs associated with on-peak demand divided by the forecasted annual on-peak demand by customer class.</t>
  </si>
  <si>
    <r>
      <t xml:space="preserve">(3) </t>
    </r>
    <r>
      <rPr>
        <b/>
        <sz val="10"/>
        <rFont val="Arial"/>
        <family val="2"/>
      </rPr>
      <t>Marginal Distribution On-Peak Demand Rate ($/On-Peak kW)</t>
    </r>
    <r>
      <rPr>
        <sz val="10"/>
        <rFont val="Arial"/>
        <family val="2"/>
      </rPr>
      <t>: equals the marginal distribution demand cost by customer class multiplied by the percentage of distribution</t>
    </r>
  </si>
  <si>
    <r>
      <t xml:space="preserve">(4) </t>
    </r>
    <r>
      <rPr>
        <b/>
        <sz val="10"/>
        <rFont val="Arial"/>
        <family val="2"/>
      </rPr>
      <t>Marginal Distribution Non-Coincident Demand Rate ($/On-Peak kW)</t>
    </r>
    <r>
      <rPr>
        <sz val="10"/>
        <rFont val="Arial"/>
        <family val="2"/>
      </rPr>
      <t>: equals the marginal distribution demand cost by customer class multiplied by the percentage of distribution</t>
    </r>
  </si>
  <si>
    <r>
      <t>(5)</t>
    </r>
    <r>
      <rPr>
        <b/>
        <sz val="10"/>
        <rFont val="Arial"/>
        <family val="2"/>
      </rPr>
      <t xml:space="preserve"> EPMC Distribution Rate</t>
    </r>
    <r>
      <rPr>
        <sz val="10"/>
        <rFont val="Arial"/>
        <family val="2"/>
      </rPr>
      <t>: equals the Marginal Distribution Rate multiplied by the EPMC Distribution Allocation Factor.</t>
    </r>
  </si>
  <si>
    <r>
      <t xml:space="preserve">(6) </t>
    </r>
    <r>
      <rPr>
        <b/>
        <sz val="10"/>
        <rFont val="Arial"/>
        <family val="2"/>
      </rPr>
      <t>EPMC Distribution Revenue Allocation</t>
    </r>
    <r>
      <rPr>
        <sz val="10"/>
        <rFont val="Arial"/>
        <family val="2"/>
      </rPr>
      <t>: equals the EPMC Distribution Rate multiplying by the applicable determinants.</t>
    </r>
  </si>
  <si>
    <r>
      <t xml:space="preserve">(2) </t>
    </r>
    <r>
      <rPr>
        <b/>
        <sz val="10"/>
        <rFont val="Arial"/>
        <family val="2"/>
      </rPr>
      <t>Marginal Distribution Customer Rate ($/Customer-Month)</t>
    </r>
    <r>
      <rPr>
        <sz val="10"/>
        <rFont val="Arial"/>
        <family val="2"/>
      </rPr>
      <t>: equals the marginal distribution customer cost by class divided by the forecasted number of customer months by customer class.</t>
    </r>
  </si>
  <si>
    <r>
      <t xml:space="preserve">(1) </t>
    </r>
    <r>
      <rPr>
        <b/>
        <sz val="10"/>
        <rFont val="Arial"/>
        <family val="2"/>
      </rPr>
      <t>Determinants</t>
    </r>
    <r>
      <rPr>
        <sz val="10"/>
        <rFont val="Arial"/>
        <family val="2"/>
      </rPr>
      <t>: sum of the 2020 determinants (customers-month, on-peak demand kW-year, and non-coincident demand kW-year) by customer class.</t>
    </r>
  </si>
  <si>
    <t xml:space="preserve">Forecasted 2020 Customers (Average): </t>
  </si>
  <si>
    <t>Forecasted 2020 On-Peak Demand (kW-year):</t>
  </si>
  <si>
    <t>Forecasted 2020 Non-Coincident Demand (kW-year):</t>
  </si>
  <si>
    <t xml:space="preserve">2020 Forecasted Distribution System Determinants by Customer Class </t>
  </si>
  <si>
    <t xml:space="preserve">     treatment such as Demand Response (DR) and Vehicle-Grid Integration (VGI).</t>
  </si>
  <si>
    <r>
      <t xml:space="preserve">(2) </t>
    </r>
    <r>
      <rPr>
        <b/>
        <sz val="10"/>
        <rFont val="Arial"/>
        <family val="2"/>
      </rPr>
      <t>Forecasted 2020 Non-Coincident Demand (kW-year)</t>
    </r>
    <r>
      <rPr>
        <sz val="10"/>
        <rFont val="Arial"/>
        <family val="2"/>
      </rPr>
      <t xml:space="preserve">: forecasted 2020 non-coincident demand determinants were developed consistent with the sales forecast in the 2019 GRC Phase 2 </t>
    </r>
  </si>
  <si>
    <t>Forecasted Summer On-Peak Related Marginal Distribution Capacity Cost %</t>
  </si>
  <si>
    <t>Summer On-Peak Demand-Related Marginal Cost ($/On-Peak kW)</t>
  </si>
  <si>
    <t>School</t>
  </si>
  <si>
    <t>Non-School</t>
  </si>
  <si>
    <t>NA</t>
  </si>
  <si>
    <t>Non-Lighting</t>
  </si>
  <si>
    <t>School (Non-Lighting)</t>
  </si>
  <si>
    <t>School (Lighting)</t>
  </si>
  <si>
    <t>Total - School</t>
  </si>
  <si>
    <t>Small Commercial ($/Customer/Year)</t>
  </si>
  <si>
    <t>Medium/Large Commercial &amp; Industrial ($/Customer/Year)</t>
  </si>
  <si>
    <t>Agricultural ($/Customer/Year)</t>
  </si>
  <si>
    <t>Non-Lighting ($/Customer/Year)</t>
  </si>
  <si>
    <t>Residential ($/Customer/Year)</t>
  </si>
  <si>
    <r>
      <t>(1)</t>
    </r>
    <r>
      <rPr>
        <b/>
        <sz val="10"/>
        <rFont val="Arial"/>
        <family val="2"/>
      </rPr>
      <t xml:space="preserve"> Customer, Feeder &amp; Local Distribution Demand and Substation Demand Unit Marginal Costs</t>
    </r>
    <r>
      <rPr>
        <sz val="10"/>
        <rFont val="Arial"/>
        <family val="2"/>
      </rPr>
      <t xml:space="preserve">: Customer, Feeder &amp; Local </t>
    </r>
  </si>
  <si>
    <t>Distrib Revenue Requirement</t>
  </si>
  <si>
    <t>Forecasted Average (2017-2019) Marginal Distribution Demand Capacity Costs ($000)</t>
  </si>
  <si>
    <t xml:space="preserve">      capacity costs associated with noncoincident demand divided by the forecasted annual non-coincident demand by customer class.</t>
  </si>
  <si>
    <t xml:space="preserve">     William G. Saxe (Chapter 5).</t>
  </si>
  <si>
    <t>(H)</t>
  </si>
  <si>
    <t>(I)</t>
  </si>
  <si>
    <t>(J)</t>
  </si>
  <si>
    <t>SDG&amp;E 2016 GRC Phase 2</t>
  </si>
  <si>
    <t>Proposed Total Distribution</t>
  </si>
  <si>
    <t>Revenue Allocation</t>
  </si>
  <si>
    <t>Proposed</t>
  </si>
  <si>
    <t>Non Marginal Revenue Requirement Components ($000)</t>
  </si>
  <si>
    <t xml:space="preserve">     such as Demand Response (DR) and Vehicle-Grid Integration (VGI). </t>
  </si>
  <si>
    <r>
      <t>Updated Distribution Revenue Allocation</t>
    </r>
    <r>
      <rPr>
        <b/>
        <vertAlign val="superscript"/>
        <sz val="12"/>
        <rFont val="Arial"/>
        <family val="2"/>
      </rPr>
      <t>1</t>
    </r>
  </si>
  <si>
    <r>
      <t>Comparison to Current Allocation</t>
    </r>
    <r>
      <rPr>
        <b/>
        <vertAlign val="superscript"/>
        <sz val="12"/>
        <rFont val="Arial"/>
        <family val="2"/>
      </rPr>
      <t>2</t>
    </r>
  </si>
  <si>
    <r>
      <t>Comparison to 2016 GRC Phase 2 Proposed Allocation</t>
    </r>
    <r>
      <rPr>
        <b/>
        <vertAlign val="superscript"/>
        <sz val="12"/>
        <rFont val="Arial"/>
        <family val="2"/>
      </rPr>
      <t>3</t>
    </r>
    <r>
      <rPr>
        <b/>
        <sz val="12"/>
        <rFont val="Arial"/>
        <family val="2"/>
      </rPr>
      <t xml:space="preserve"> </t>
    </r>
  </si>
  <si>
    <r>
      <t xml:space="preserve">(3) </t>
    </r>
    <r>
      <rPr>
        <b/>
        <sz val="10"/>
        <rFont val="Arial"/>
        <family val="2"/>
      </rPr>
      <t>2016 GRC Phase 2 Proposed Total Distribution Revenue Allocation</t>
    </r>
    <r>
      <rPr>
        <sz val="10"/>
        <rFont val="Arial"/>
        <family val="2"/>
      </rPr>
      <t>: total distribution revenue allocation based on the total distribution allocation factors proposed in SDG&amp;E 2016 GRC Phase 2 (A.15-04-012) Rebuttal Testimony of William G. Saxe (Chapter 5) multiplied by the current total distribution revenue requirement.</t>
    </r>
  </si>
  <si>
    <r>
      <t>Distribution Revenue Requirement ($000):</t>
    </r>
    <r>
      <rPr>
        <vertAlign val="superscript"/>
        <sz val="12"/>
        <rFont val="Arial"/>
        <family val="2"/>
      </rPr>
      <t>4</t>
    </r>
    <r>
      <rPr>
        <sz val="12"/>
        <rFont val="Arial"/>
        <family val="2"/>
      </rPr>
      <t xml:space="preserve">   </t>
    </r>
  </si>
  <si>
    <r>
      <t>Lighting Facilities &amp; Maintenance Charge Revenues (Non-School):</t>
    </r>
    <r>
      <rPr>
        <vertAlign val="superscript"/>
        <sz val="12"/>
        <rFont val="Arial"/>
        <family val="2"/>
      </rPr>
      <t>5</t>
    </r>
    <r>
      <rPr>
        <sz val="12"/>
        <rFont val="Arial"/>
        <family val="2"/>
      </rPr>
      <t xml:space="preserve">   </t>
    </r>
  </si>
  <si>
    <r>
      <t>Lighting Facilities &amp; Maintenance Charge Revenues (School):</t>
    </r>
    <r>
      <rPr>
        <vertAlign val="superscript"/>
        <sz val="12"/>
        <rFont val="Arial"/>
        <family val="2"/>
      </rPr>
      <t>5</t>
    </r>
    <r>
      <rPr>
        <sz val="12"/>
        <rFont val="Arial"/>
        <family val="2"/>
      </rPr>
      <t xml:space="preserve">   </t>
    </r>
  </si>
  <si>
    <r>
      <t>Standby Revenues:</t>
    </r>
    <r>
      <rPr>
        <vertAlign val="superscript"/>
        <sz val="12"/>
        <rFont val="Arial"/>
        <family val="2"/>
      </rPr>
      <t>6</t>
    </r>
    <r>
      <rPr>
        <sz val="12"/>
        <rFont val="Arial"/>
        <family val="2"/>
      </rPr>
      <t xml:space="preserve">   </t>
    </r>
  </si>
  <si>
    <r>
      <t>Distance Adjustment Fee Revenues (Non-School):</t>
    </r>
    <r>
      <rPr>
        <vertAlign val="superscript"/>
        <sz val="12"/>
        <rFont val="Arial"/>
        <family val="2"/>
      </rPr>
      <t>7</t>
    </r>
    <r>
      <rPr>
        <sz val="12"/>
        <rFont val="Arial"/>
        <family val="2"/>
      </rPr>
      <t xml:space="preserve">   </t>
    </r>
  </si>
  <si>
    <r>
      <t>Distance Adjustment Fee Revenues (School):</t>
    </r>
    <r>
      <rPr>
        <vertAlign val="superscript"/>
        <sz val="12"/>
        <rFont val="Arial"/>
        <family val="2"/>
      </rPr>
      <t>7</t>
    </r>
    <r>
      <rPr>
        <sz val="12"/>
        <rFont val="Arial"/>
        <family val="2"/>
      </rPr>
      <t xml:space="preserve">   </t>
    </r>
  </si>
  <si>
    <r>
      <t xml:space="preserve">(7) </t>
    </r>
    <r>
      <rPr>
        <b/>
        <sz val="10"/>
        <rFont val="Arial"/>
        <family val="2"/>
      </rPr>
      <t>Non-Marginal Distance Adjustment Fee Revenues</t>
    </r>
    <r>
      <rPr>
        <sz val="10"/>
        <rFont val="Arial"/>
        <family val="2"/>
      </rPr>
      <t>: Distance Adjustment Fees of $3,506,000 for non-school and $26,000 for school are the annual distance adjustment fees revenues based on the forecasted overhead and underground distance adjustment fee determinants in feet multiplied by the applicable</t>
    </r>
  </si>
  <si>
    <t>(8) Input data in blue font comes from a separate source file.</t>
  </si>
  <si>
    <t>Distribution Equal Percentage of Marginal Cost ("EPMC") Rates and Revenues by Customer Class</t>
  </si>
  <si>
    <t>Distribution Equal Percentage of Marginal Cost ("EPMC") Rates and Revenue by Customer Class</t>
  </si>
  <si>
    <t>SAN DIEGO GAS &amp; ELECTRIC COMPANY ("SDG&amp;E")</t>
  </si>
  <si>
    <t xml:space="preserve">     (A.19-03-002) Direct Testimony of Kenneth E. Schiermeyer, Chapter 4.</t>
  </si>
  <si>
    <t>(5) Input data in blue font comes from a separate source file.</t>
  </si>
  <si>
    <t>TEST YEAR ("TY") 2019 GENERAL RATE CASE ("GRC") PHASE 2, APPLICATION ("A.") 19-03-002</t>
  </si>
  <si>
    <t xml:space="preserve">     collected in rates effective January 1, 2020, pursuant to Advice Letter 3487-E, excluding revenues that have separate allocation</t>
  </si>
  <si>
    <r>
      <t xml:space="preserve">(6) </t>
    </r>
    <r>
      <rPr>
        <b/>
        <sz val="10"/>
        <rFont val="Arial"/>
        <family val="2"/>
      </rPr>
      <t>Non-Marginal Standby Revenues</t>
    </r>
    <r>
      <rPr>
        <sz val="10"/>
        <rFont val="Arial"/>
        <family val="2"/>
      </rPr>
      <t>: Standby Revenues of $8,048,000 are the standby revenues based on the forecasted standby determinants multiplied by the applicable current standby rates effective January 1, 2020, pursuant to SDG&amp;E Advice Letter 3487-E.</t>
    </r>
  </si>
  <si>
    <t xml:space="preserve">     current distance adjustment fees effective January 1, 2020, pursuant to SDG&amp;E Advice Letter 3487-E.</t>
  </si>
  <si>
    <r>
      <t xml:space="preserve">(2) </t>
    </r>
    <r>
      <rPr>
        <b/>
        <sz val="10"/>
        <rFont val="Arial"/>
        <family val="2"/>
      </rPr>
      <t>Current Total Distribution Revenue Allocation</t>
    </r>
    <r>
      <rPr>
        <sz val="10"/>
        <rFont val="Arial"/>
        <family val="2"/>
      </rPr>
      <t>: allocation of current distribution revenue requirement based on the current class distribution allocation percentages reflected in current rates; rates effective January 1, 2020, pursuant to SDG&amp;E Advice Letter 3487-E.</t>
    </r>
  </si>
  <si>
    <r>
      <t xml:space="preserve">(4) </t>
    </r>
    <r>
      <rPr>
        <b/>
        <sz val="10"/>
        <rFont val="Arial"/>
        <family val="2"/>
      </rPr>
      <t>Distribution Revenue Requirement</t>
    </r>
    <r>
      <rPr>
        <sz val="10"/>
        <rFont val="Arial"/>
        <family val="2"/>
      </rPr>
      <t>: the $1,588,811,000 Distribution Revenue Requirement reflects the current distribution revenues being collected in rates effective January 1, 2020, pursuant to  SDG&amp;E Advice Letter 3487-E, excluding revenues that have separate allocation treatment</t>
    </r>
  </si>
  <si>
    <r>
      <t xml:space="preserve">(5) </t>
    </r>
    <r>
      <rPr>
        <b/>
        <sz val="10"/>
        <rFont val="Arial"/>
        <family val="2"/>
      </rPr>
      <t>Non-Marginal Lighting Facilities &amp; Maintenance Charge Revenues</t>
    </r>
    <r>
      <rPr>
        <sz val="10"/>
        <rFont val="Arial"/>
        <family val="2"/>
      </rPr>
      <t>: Lighting Facilities Charges of $3,399,000 for non-school and $28,000 for school are the annual lighting facilities and maintenance revenues identified in the Lighting Model from SDG&amp;E witness William Saxe (Chapter 7) revised direct testimony workpapers.</t>
    </r>
  </si>
  <si>
    <t>DISTRIBUTION REVENUE ALLOCATION WORKPAPERS - CHAPTER 5 (SAXE) - REVISED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</si>
</sst>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* #,##0.000_);_(* \(#,##0.000\);_(* &quot;-&quot;??_);_(@_)"/>
    <numFmt numFmtId="167" formatCode="_(* #,##0.0000_);_(* \(#,##0.0000\);_(* &quot;-&quot;??_);_(@_)"/>
    <numFmt numFmtId="168" formatCode="&quot;$&quot;#,##0"/>
    <numFmt numFmtId="169" formatCode="General_)"/>
    <numFmt numFmtId="170" formatCode="#,##0.00000_);[Red]\(#,##0.00000\)"/>
    <numFmt numFmtId="171" formatCode="0.0000%"/>
    <numFmt numFmtId="172" formatCode="&quot;$&quot;#,##0.00000_);[Red]\(&quot;$&quot;#,##0.00000\)"/>
    <numFmt numFmtId="173" formatCode="_(* #,##0.00000_);_(* \(#,##0.00000\);_(* &quot;-&quot;??_);_(@_)"/>
    <numFmt numFmtId="174" formatCode="&quot;$&quot;#,##0.00"/>
    <numFmt numFmtId="175" formatCode="&quot;$&quot;#,##0.00000"/>
    <numFmt numFmtId="176" formatCode="&quot;$&quot;#,##0.0"/>
    <numFmt numFmtId="177" formatCode="&quot;$&quot;#,##0.000"/>
    <numFmt numFmtId="178" formatCode="&quot;$&quot;#,##0.0000"/>
    <numFmt numFmtId="179" formatCode="_(* #,##0.0_);_(* \(#,##0.0\);_(* &quot;-&quot;??_);_(@_)"/>
    <numFmt numFmtId="180" formatCode="[$-409]dddd\,\ mmmm\ dd\,\ yyyy"/>
    <numFmt numFmtId="181" formatCode="[$-409]h:mm:ss\ AM/PM"/>
    <numFmt numFmtId="182" formatCode="0.0000000000"/>
    <numFmt numFmtId="183" formatCode="0.000000000"/>
    <numFmt numFmtId="184" formatCode="0.00000000"/>
    <numFmt numFmtId="185" formatCode="_(* #,##0.000000_);_(* \(#,##0.000000\);_(* &quot;-&quot;??_);_(@_)"/>
    <numFmt numFmtId="186" formatCode="_(* #,##0.0000000_);_(* \(#,##0.0000000\);_(* &quot;-&quot;??_);_(@_)"/>
    <numFmt numFmtId="187" formatCode="0.000%"/>
    <numFmt numFmtId="188" formatCode="0.000000"/>
    <numFmt numFmtId="189" formatCode="0.00000"/>
    <numFmt numFmtId="190" formatCode="0.0000"/>
    <numFmt numFmtId="191" formatCode="0.00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_(* #,##0.00000000_);_(* \(#,##0.00000000\);_(* &quot;-&quot;??_);_(@_)"/>
    <numFmt numFmtId="197" formatCode="[$-409]dddd\,\ mmmm\ d\,\ yyyy"/>
    <numFmt numFmtId="198" formatCode="0.0000000000000000%"/>
    <numFmt numFmtId="199" formatCode="0.000000000000000%"/>
    <numFmt numFmtId="200" formatCode="_(* #,##0.0_);_(* \(#,##0.0\);_(* &quot;-&quot;?_);_(@_)"/>
    <numFmt numFmtId="201" formatCode="_(* #,##0.00000_);_(* \(#,##0.00000\);_(* &quot;-&quot;?????_);_(@_)"/>
    <numFmt numFmtId="202" formatCode="0.0"/>
  </numFmts>
  <fonts count="5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2"/>
      <name val="Arial"/>
      <family val="2"/>
    </font>
    <font>
      <b/>
      <sz val="12"/>
      <color indexed="39"/>
      <name val="Arial"/>
      <family val="2"/>
    </font>
    <font>
      <sz val="12"/>
      <color indexed="12"/>
      <name val="Arial"/>
      <family val="2"/>
    </font>
    <font>
      <b/>
      <u val="single"/>
      <sz val="12"/>
      <name val="Arial"/>
      <family val="2"/>
    </font>
    <font>
      <b/>
      <sz val="12"/>
      <color indexed="10"/>
      <name val="Arial"/>
      <family val="2"/>
    </font>
    <font>
      <sz val="11"/>
      <color indexed="9"/>
      <name val="Calibri"/>
      <family val="2"/>
    </font>
    <font>
      <sz val="7"/>
      <name val="Arial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MS Sans Serif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u val="single"/>
      <sz val="12"/>
      <name val="Arial"/>
      <family val="2"/>
    </font>
    <font>
      <u val="single"/>
      <sz val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u val="singleAccounting"/>
      <sz val="10"/>
      <name val="Arial"/>
      <family val="2"/>
    </font>
    <font>
      <b/>
      <sz val="14"/>
      <name val="Arial"/>
      <family val="2"/>
    </font>
    <font>
      <b/>
      <sz val="10"/>
      <color indexed="23"/>
      <name val="Lucida Console"/>
      <family val="3"/>
    </font>
    <font>
      <sz val="10"/>
      <color indexed="9"/>
      <name val="Arial"/>
      <family val="2"/>
    </font>
    <font>
      <b/>
      <i/>
      <sz val="10"/>
      <color indexed="10"/>
      <name val="Arial"/>
      <family val="2"/>
    </font>
    <font>
      <b/>
      <i/>
      <sz val="10"/>
      <color indexed="63"/>
      <name val="Arial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i/>
      <sz val="12"/>
      <name val="Arial"/>
      <family val="2"/>
    </font>
    <font>
      <b/>
      <vertAlign val="superscript"/>
      <sz val="12"/>
      <name val="Arial"/>
      <family val="2"/>
    </font>
    <font>
      <vertAlign val="superscript"/>
      <sz val="12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2"/>
      <color indexed="30"/>
      <name val="Arial"/>
      <family val="2"/>
    </font>
    <font>
      <b/>
      <sz val="12"/>
      <color indexed="10"/>
      <name val="Times New Roman"/>
      <family val="1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sz val="12"/>
      <color theme="1"/>
      <name val="Calibri"/>
      <family val="2"/>
    </font>
    <font>
      <b/>
      <sz val="12"/>
      <color rgb="FFFF0000"/>
      <name val="Arial"/>
      <family val="2"/>
    </font>
    <font>
      <b/>
      <sz val="12"/>
      <color rgb="FF0070C0"/>
      <name val="Arial"/>
      <family val="2"/>
    </font>
    <font>
      <b/>
      <sz val="12"/>
      <color rgb="FF0000FF"/>
      <name val="Arial"/>
      <family val="2"/>
    </font>
    <font>
      <sz val="12"/>
      <color rgb="FF0000FF"/>
      <name val="Arial"/>
      <family val="2"/>
    </font>
    <font>
      <b/>
      <sz val="12"/>
      <color rgb="FFFF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23"/>
      </left>
      <right/>
      <top style="medium">
        <color indexed="23"/>
      </top>
      <bottom/>
    </border>
    <border>
      <left/>
      <right/>
      <top style="medium">
        <color indexed="23"/>
      </top>
      <bottom/>
    </border>
    <border>
      <left/>
      <right style="medium">
        <color indexed="23"/>
      </right>
      <top style="medium">
        <color indexed="23"/>
      </top>
      <bottom/>
    </border>
    <border>
      <left style="medium">
        <color indexed="61"/>
      </left>
      <right/>
      <top/>
      <bottom/>
    </border>
    <border>
      <left style="medium">
        <color indexed="60"/>
      </left>
      <right/>
      <top/>
      <bottom/>
    </border>
    <border>
      <left style="medium">
        <color indexed="59"/>
      </left>
      <right/>
      <top/>
      <bottom/>
    </border>
    <border>
      <left style="medium">
        <color indexed="61"/>
      </left>
      <right style="medium">
        <color indexed="61"/>
      </right>
      <top style="medium">
        <color indexed="61"/>
      </top>
      <bottom style="medium">
        <color indexed="61"/>
      </bottom>
    </border>
    <border>
      <left style="medium">
        <color indexed="60"/>
      </left>
      <right style="medium">
        <color indexed="60"/>
      </right>
      <top style="medium">
        <color indexed="60"/>
      </top>
      <bottom style="medium">
        <color indexed="60"/>
      </bottom>
    </border>
    <border>
      <left style="medium">
        <color indexed="59"/>
      </left>
      <right style="medium">
        <color indexed="59"/>
      </right>
      <top style="medium">
        <color indexed="59"/>
      </top>
      <bottom style="medium">
        <color indexed="59"/>
      </bottom>
    </border>
    <border>
      <left/>
      <right/>
      <top/>
      <bottom style="medium">
        <color indexed="8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medium"/>
    </border>
    <border>
      <left style="thin"/>
      <right/>
      <top style="thin"/>
      <bottom/>
    </border>
    <border>
      <left/>
      <right/>
      <top/>
      <bottom style="thin"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/>
      <bottom/>
    </border>
    <border>
      <left/>
      <right style="medium"/>
      <top style="medium"/>
      <bottom/>
    </border>
    <border>
      <left/>
      <right/>
      <top/>
      <bottom style="double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10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169" fontId="11" fillId="0" borderId="0">
      <alignment/>
      <protection/>
    </xf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0" fontId="1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8" fontId="15" fillId="0" borderId="0" applyFont="0" applyFill="0" applyBorder="0" applyAlignment="0" applyProtection="0"/>
    <xf numFmtId="44" fontId="4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0" borderId="6" applyNumberFormat="0" applyFill="0" applyAlignment="0" applyProtection="0"/>
    <xf numFmtId="0" fontId="23" fillId="22" borderId="0" applyNumberFormat="0" applyBorder="0" applyAlignment="0" applyProtection="0"/>
    <xf numFmtId="169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9" fontId="2" fillId="0" borderId="0">
      <alignment/>
      <protection/>
    </xf>
    <xf numFmtId="169" fontId="2" fillId="0" borderId="0">
      <alignment/>
      <protection/>
    </xf>
    <xf numFmtId="0" fontId="1" fillId="23" borderId="7" applyNumberFormat="0" applyFont="0" applyAlignment="0" applyProtection="0"/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 applyNumberFormat="0" applyFont="0" applyBorder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Protection="0">
      <alignment wrapText="1"/>
    </xf>
    <xf numFmtId="0" fontId="29" fillId="0" borderId="0" applyNumberFormat="0" applyFill="0" applyBorder="0" applyProtection="0">
      <alignment wrapText="1"/>
    </xf>
    <xf numFmtId="0" fontId="2" fillId="0" borderId="0" applyNumberFormat="0" applyFill="0" applyBorder="0" applyProtection="0">
      <alignment vertical="top" wrapText="1"/>
    </xf>
    <xf numFmtId="0" fontId="36" fillId="0" borderId="0" applyNumberFormat="0" applyFill="0" applyBorder="0" applyAlignment="0" applyProtection="0"/>
    <xf numFmtId="0" fontId="0" fillId="0" borderId="9" applyNumberFormat="0" applyFont="0" applyFill="0" applyAlignment="0" applyProtection="0"/>
    <xf numFmtId="0" fontId="0" fillId="0" borderId="10" applyNumberFormat="0" applyFont="0" applyFill="0" applyAlignment="0" applyProtection="0"/>
    <xf numFmtId="0" fontId="0" fillId="0" borderId="11" applyNumberFormat="0" applyFont="0" applyFill="0" applyAlignment="0" applyProtection="0"/>
    <xf numFmtId="0" fontId="37" fillId="25" borderId="12" applyNumberFormat="0" applyAlignment="0" applyProtection="0"/>
    <xf numFmtId="0" fontId="37" fillId="26" borderId="13" applyNumberFormat="0" applyAlignment="0" applyProtection="0"/>
    <xf numFmtId="0" fontId="0" fillId="27" borderId="14" applyNumberFormat="0" applyFont="0" applyAlignment="0" applyProtection="0"/>
    <xf numFmtId="0" fontId="0" fillId="28" borderId="15" applyNumberFormat="0" applyFont="0" applyAlignment="0" applyProtection="0"/>
    <xf numFmtId="0" fontId="0" fillId="18" borderId="16" applyNumberFormat="0" applyFont="0" applyAlignment="0" applyProtection="0"/>
    <xf numFmtId="0" fontId="0" fillId="29" borderId="17" applyNumberFormat="0" applyFont="0" applyAlignment="0" applyProtection="0"/>
    <xf numFmtId="0" fontId="0" fillId="30" borderId="0" applyNumberFormat="0" applyFon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8" fillId="0" borderId="18" applyNumberFormat="0" applyFill="0" applyAlignment="0" applyProtection="0"/>
    <xf numFmtId="0" fontId="0" fillId="0" borderId="0" applyNumberFormat="0" applyFont="0" applyBorder="0" applyAlignment="0" applyProtection="0"/>
    <xf numFmtId="0" fontId="25" fillId="0" borderId="0" applyNumberFormat="0" applyFill="0" applyBorder="0" applyAlignment="0" applyProtection="0"/>
    <xf numFmtId="0" fontId="26" fillId="0" borderId="19" applyNumberFormat="0" applyFill="0" applyAlignment="0" applyProtection="0"/>
    <xf numFmtId="0" fontId="27" fillId="0" borderId="0" applyNumberFormat="0" applyFill="0" applyBorder="0" applyAlignment="0" applyProtection="0"/>
  </cellStyleXfs>
  <cellXfs count="338">
    <xf numFmtId="0" fontId="0" fillId="0" borderId="0" xfId="0" applyAlignment="1">
      <alignment/>
    </xf>
    <xf numFmtId="169" fontId="3" fillId="0" borderId="0" xfId="70" applyFont="1" applyFill="1" applyAlignment="1">
      <alignment horizontal="center"/>
      <protection/>
    </xf>
    <xf numFmtId="169" fontId="3" fillId="0" borderId="0" xfId="70" applyFont="1" applyFill="1" applyAlignment="1">
      <alignment/>
      <protection/>
    </xf>
    <xf numFmtId="0" fontId="3" fillId="0" borderId="0" xfId="0" applyFont="1" applyFill="1" applyBorder="1" applyAlignment="1">
      <alignment horizontal="center"/>
    </xf>
    <xf numFmtId="0" fontId="4" fillId="0" borderId="0" xfId="0" applyFont="1" applyAlignment="1">
      <alignment/>
    </xf>
    <xf numFmtId="169" fontId="3" fillId="0" borderId="0" xfId="71" applyFont="1" applyFill="1" applyBorder="1" applyAlignment="1">
      <alignment horizontal="center"/>
      <protection/>
    </xf>
    <xf numFmtId="169" fontId="3" fillId="0" borderId="0" xfId="71" applyFont="1" applyFill="1" applyAlignment="1">
      <alignment horizontal="center"/>
      <protection/>
    </xf>
    <xf numFmtId="169" fontId="3" fillId="0" borderId="0" xfId="71" applyFont="1" applyFill="1" applyAlignment="1" quotePrefix="1">
      <alignment horizontal="center"/>
      <protection/>
    </xf>
    <xf numFmtId="169" fontId="3" fillId="0" borderId="20" xfId="71" applyFont="1" applyFill="1" applyBorder="1" applyAlignment="1">
      <alignment horizontal="center"/>
      <protection/>
    </xf>
    <xf numFmtId="0" fontId="3" fillId="0" borderId="20" xfId="0" applyFont="1" applyFill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165" fontId="3" fillId="0" borderId="0" xfId="74" applyNumberFormat="1" applyFont="1" applyBorder="1" applyAlignment="1">
      <alignment/>
    </xf>
    <xf numFmtId="164" fontId="3" fillId="0" borderId="0" xfId="43" applyNumberFormat="1" applyFont="1" applyBorder="1" applyAlignment="1">
      <alignment/>
    </xf>
    <xf numFmtId="3" fontId="3" fillId="0" borderId="0" xfId="43" applyNumberFormat="1" applyFont="1" applyBorder="1" applyAlignment="1">
      <alignment/>
    </xf>
    <xf numFmtId="166" fontId="3" fillId="0" borderId="0" xfId="43" applyNumberFormat="1" applyFont="1" applyBorder="1" applyAlignment="1">
      <alignment/>
    </xf>
    <xf numFmtId="164" fontId="5" fillId="0" borderId="0" xfId="43" applyNumberFormat="1" applyFont="1" applyFill="1" applyBorder="1" applyAlignment="1">
      <alignment/>
    </xf>
    <xf numFmtId="43" fontId="3" fillId="0" borderId="0" xfId="43" applyNumberFormat="1" applyFont="1" applyBorder="1" applyAlignment="1">
      <alignment/>
    </xf>
    <xf numFmtId="10" fontId="7" fillId="0" borderId="0" xfId="74" applyNumberFormat="1" applyFont="1" applyBorder="1" applyAlignment="1">
      <alignment/>
    </xf>
    <xf numFmtId="10" fontId="4" fillId="0" borderId="0" xfId="0" applyNumberFormat="1" applyFont="1" applyBorder="1" applyAlignment="1">
      <alignment/>
    </xf>
    <xf numFmtId="164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right"/>
    </xf>
    <xf numFmtId="164" fontId="6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164" fontId="0" fillId="0" borderId="0" xfId="0" applyNumberFormat="1" applyAlignment="1">
      <alignment/>
    </xf>
    <xf numFmtId="0" fontId="0" fillId="0" borderId="0" xfId="0" applyAlignment="1" quotePrefix="1">
      <alignment/>
    </xf>
    <xf numFmtId="0" fontId="3" fillId="0" borderId="0" xfId="0" applyFont="1" applyBorder="1" applyAlignment="1">
      <alignment/>
    </xf>
    <xf numFmtId="164" fontId="3" fillId="0" borderId="0" xfId="43" applyNumberFormat="1" applyFont="1" applyFill="1" applyBorder="1" applyAlignment="1">
      <alignment/>
    </xf>
    <xf numFmtId="169" fontId="3" fillId="0" borderId="0" xfId="70" applyFont="1" applyFill="1" applyAlignment="1">
      <alignment horizontal="left"/>
      <protection/>
    </xf>
    <xf numFmtId="0" fontId="4" fillId="0" borderId="0" xfId="0" applyFont="1" applyAlignment="1">
      <alignment/>
    </xf>
    <xf numFmtId="169" fontId="3" fillId="0" borderId="0" xfId="70" applyFont="1" applyFill="1" applyAlignment="1">
      <alignment/>
      <protection/>
    </xf>
    <xf numFmtId="169" fontId="3" fillId="0" borderId="0" xfId="70" applyFont="1" applyFill="1" applyAlignment="1">
      <alignment horizontal="left"/>
      <protection/>
    </xf>
    <xf numFmtId="0" fontId="3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10" fontId="7" fillId="0" borderId="0" xfId="74" applyNumberFormat="1" applyFont="1" applyBorder="1" applyAlignment="1">
      <alignment/>
    </xf>
    <xf numFmtId="10" fontId="4" fillId="0" borderId="0" xfId="0" applyNumberFormat="1" applyFont="1" applyBorder="1" applyAlignment="1">
      <alignment/>
    </xf>
    <xf numFmtId="10" fontId="4" fillId="0" borderId="0" xfId="74" applyNumberFormat="1" applyFont="1" applyBorder="1" applyAlignment="1">
      <alignment/>
    </xf>
    <xf numFmtId="0" fontId="4" fillId="0" borderId="0" xfId="0" applyFont="1" applyBorder="1" applyAlignment="1">
      <alignment/>
    </xf>
    <xf numFmtId="164" fontId="3" fillId="0" borderId="0" xfId="43" applyNumberFormat="1" applyFont="1" applyBorder="1" applyAlignment="1">
      <alignment/>
    </xf>
    <xf numFmtId="164" fontId="4" fillId="0" borderId="0" xfId="0" applyNumberFormat="1" applyFont="1" applyBorder="1" applyAlignment="1">
      <alignment/>
    </xf>
    <xf numFmtId="164" fontId="4" fillId="0" borderId="0" xfId="0" applyNumberFormat="1" applyFont="1" applyAlignment="1">
      <alignment/>
    </xf>
    <xf numFmtId="0" fontId="4" fillId="0" borderId="0" xfId="0" applyFont="1" applyAlignment="1" quotePrefix="1">
      <alignment/>
    </xf>
    <xf numFmtId="0" fontId="3" fillId="0" borderId="0" xfId="0" applyFont="1" applyBorder="1" applyAlignment="1">
      <alignment/>
    </xf>
    <xf numFmtId="43" fontId="3" fillId="0" borderId="0" xfId="43" applyNumberFormat="1" applyFont="1" applyBorder="1" applyAlignment="1">
      <alignment/>
    </xf>
    <xf numFmtId="164" fontId="5" fillId="0" borderId="0" xfId="43" applyNumberFormat="1" applyFont="1" applyBorder="1" applyAlignment="1">
      <alignment/>
    </xf>
    <xf numFmtId="0" fontId="3" fillId="0" borderId="20" xfId="0" applyFont="1" applyBorder="1" applyAlignment="1">
      <alignment/>
    </xf>
    <xf numFmtId="0" fontId="4" fillId="0" borderId="0" xfId="0" applyFont="1" applyAlignment="1">
      <alignment horizontal="left"/>
    </xf>
    <xf numFmtId="0" fontId="8" fillId="0" borderId="0" xfId="0" applyFont="1" applyBorder="1" applyAlignment="1">
      <alignment/>
    </xf>
    <xf numFmtId="165" fontId="9" fillId="0" borderId="0" xfId="74" applyNumberFormat="1" applyFont="1" applyBorder="1" applyAlignment="1">
      <alignment/>
    </xf>
    <xf numFmtId="164" fontId="9" fillId="0" borderId="0" xfId="43" applyNumberFormat="1" applyFont="1" applyBorder="1" applyAlignment="1">
      <alignment/>
    </xf>
    <xf numFmtId="164" fontId="3" fillId="0" borderId="0" xfId="0" applyNumberFormat="1" applyFont="1" applyBorder="1" applyAlignment="1">
      <alignment/>
    </xf>
    <xf numFmtId="43" fontId="4" fillId="0" borderId="0" xfId="0" applyNumberFormat="1" applyFont="1" applyAlignment="1">
      <alignment/>
    </xf>
    <xf numFmtId="0" fontId="0" fillId="0" borderId="0" xfId="0" applyBorder="1" applyAlignment="1" quotePrefix="1">
      <alignment/>
    </xf>
    <xf numFmtId="10" fontId="30" fillId="0" borderId="0" xfId="74" applyNumberFormat="1" applyFont="1" applyBorder="1" applyAlignment="1">
      <alignment/>
    </xf>
    <xf numFmtId="164" fontId="3" fillId="0" borderId="0" xfId="0" applyNumberFormat="1" applyFont="1" applyBorder="1" applyAlignment="1">
      <alignment/>
    </xf>
    <xf numFmtId="0" fontId="4" fillId="0" borderId="21" xfId="0" applyFont="1" applyFill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3" fillId="0" borderId="20" xfId="0" applyFont="1" applyBorder="1" applyAlignment="1">
      <alignment/>
    </xf>
    <xf numFmtId="164" fontId="3" fillId="0" borderId="22" xfId="43" applyNumberFormat="1" applyFont="1" applyBorder="1" applyAlignment="1">
      <alignment/>
    </xf>
    <xf numFmtId="164" fontId="3" fillId="0" borderId="0" xfId="43" applyNumberFormat="1" applyFont="1" applyAlignment="1">
      <alignment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31" fillId="0" borderId="0" xfId="0" applyFont="1" applyBorder="1" applyAlignment="1">
      <alignment horizontal="center"/>
    </xf>
    <xf numFmtId="0" fontId="4" fillId="0" borderId="23" xfId="0" applyFont="1" applyFill="1" applyBorder="1" applyAlignment="1">
      <alignment horizontal="left"/>
    </xf>
    <xf numFmtId="0" fontId="29" fillId="0" borderId="0" xfId="69" applyFont="1" applyAlignment="1">
      <alignment horizontal="center"/>
      <protection/>
    </xf>
    <xf numFmtId="0" fontId="3" fillId="0" borderId="0" xfId="69" applyFont="1" applyFill="1" applyBorder="1" applyAlignment="1">
      <alignment horizontal="center"/>
      <protection/>
    </xf>
    <xf numFmtId="0" fontId="29" fillId="0" borderId="0" xfId="69" applyFont="1" applyFill="1" applyBorder="1">
      <alignment/>
      <protection/>
    </xf>
    <xf numFmtId="0" fontId="3" fillId="0" borderId="0" xfId="69" applyFont="1" applyFill="1" applyBorder="1">
      <alignment/>
      <protection/>
    </xf>
    <xf numFmtId="0" fontId="8" fillId="0" borderId="0" xfId="0" applyFont="1" applyBorder="1" applyAlignment="1">
      <alignment horizontal="left"/>
    </xf>
    <xf numFmtId="164" fontId="3" fillId="0" borderId="0" xfId="43" applyNumberFormat="1" applyFont="1" applyFill="1" applyBorder="1" applyAlignment="1">
      <alignment/>
    </xf>
    <xf numFmtId="9" fontId="32" fillId="0" borderId="0" xfId="74" applyFont="1" applyBorder="1" applyAlignment="1">
      <alignment/>
    </xf>
    <xf numFmtId="9" fontId="32" fillId="0" borderId="0" xfId="74" applyNumberFormat="1" applyFont="1" applyBorder="1" applyAlignment="1">
      <alignment/>
    </xf>
    <xf numFmtId="0" fontId="33" fillId="0" borderId="0" xfId="0" applyFont="1" applyBorder="1" applyAlignment="1">
      <alignment/>
    </xf>
    <xf numFmtId="173" fontId="4" fillId="0" borderId="0" xfId="0" applyNumberFormat="1" applyFont="1" applyAlignment="1">
      <alignment/>
    </xf>
    <xf numFmtId="43" fontId="0" fillId="0" borderId="0" xfId="0" applyNumberFormat="1" applyAlignment="1">
      <alignment/>
    </xf>
    <xf numFmtId="164" fontId="3" fillId="0" borderId="22" xfId="43" applyNumberFormat="1" applyFont="1" applyBorder="1" applyAlignment="1">
      <alignment/>
    </xf>
    <xf numFmtId="0" fontId="31" fillId="0" borderId="0" xfId="0" applyFont="1" applyBorder="1" applyAlignment="1">
      <alignment/>
    </xf>
    <xf numFmtId="0" fontId="29" fillId="0" borderId="0" xfId="0" applyFont="1" applyBorder="1" applyAlignment="1">
      <alignment horizontal="center"/>
    </xf>
    <xf numFmtId="165" fontId="29" fillId="0" borderId="0" xfId="74" applyNumberFormat="1" applyFont="1" applyBorder="1" applyAlignment="1">
      <alignment/>
    </xf>
    <xf numFmtId="0" fontId="0" fillId="0" borderId="0" xfId="0" applyFont="1" applyBorder="1" applyAlignment="1">
      <alignment/>
    </xf>
    <xf numFmtId="164" fontId="4" fillId="0" borderId="0" xfId="43" applyNumberFormat="1" applyFont="1" applyAlignment="1">
      <alignment/>
    </xf>
    <xf numFmtId="164" fontId="4" fillId="0" borderId="0" xfId="0" applyNumberFormat="1" applyFont="1" applyAlignment="1">
      <alignment/>
    </xf>
    <xf numFmtId="0" fontId="3" fillId="0" borderId="0" xfId="0" applyFont="1" applyFill="1" applyAlignment="1">
      <alignment horizontal="center"/>
    </xf>
    <xf numFmtId="174" fontId="3" fillId="0" borderId="0" xfId="43" applyNumberFormat="1" applyFont="1" applyBorder="1" applyAlignment="1">
      <alignment/>
    </xf>
    <xf numFmtId="174" fontId="3" fillId="0" borderId="22" xfId="43" applyNumberFormat="1" applyFont="1" applyFill="1" applyBorder="1" applyAlignment="1">
      <alignment/>
    </xf>
    <xf numFmtId="174" fontId="3" fillId="0" borderId="22" xfId="43" applyNumberFormat="1" applyFont="1" applyBorder="1" applyAlignment="1">
      <alignment/>
    </xf>
    <xf numFmtId="7" fontId="3" fillId="0" borderId="0" xfId="43" applyNumberFormat="1" applyFont="1" applyFill="1" applyBorder="1" applyAlignment="1">
      <alignment/>
    </xf>
    <xf numFmtId="7" fontId="3" fillId="0" borderId="22" xfId="43" applyNumberFormat="1" applyFont="1" applyFill="1" applyBorder="1" applyAlignment="1">
      <alignment/>
    </xf>
    <xf numFmtId="168" fontId="3" fillId="0" borderId="0" xfId="43" applyNumberFormat="1" applyFont="1" applyFill="1" applyBorder="1" applyAlignment="1">
      <alignment/>
    </xf>
    <xf numFmtId="168" fontId="3" fillId="0" borderId="22" xfId="43" applyNumberFormat="1" applyFont="1" applyFill="1" applyBorder="1" applyAlignment="1">
      <alignment/>
    </xf>
    <xf numFmtId="168" fontId="5" fillId="0" borderId="0" xfId="43" applyNumberFormat="1" applyFont="1" applyFill="1" applyBorder="1" applyAlignment="1">
      <alignment/>
    </xf>
    <xf numFmtId="168" fontId="3" fillId="0" borderId="0" xfId="43" applyNumberFormat="1" applyFont="1" applyBorder="1" applyAlignment="1">
      <alignment/>
    </xf>
    <xf numFmtId="168" fontId="5" fillId="0" borderId="0" xfId="43" applyNumberFormat="1" applyFont="1" applyBorder="1" applyAlignment="1">
      <alignment/>
    </xf>
    <xf numFmtId="164" fontId="0" fillId="0" borderId="24" xfId="0" applyNumberFormat="1" applyFont="1" applyBorder="1" applyAlignment="1">
      <alignment/>
    </xf>
    <xf numFmtId="164" fontId="34" fillId="0" borderId="25" xfId="0" applyNumberFormat="1" applyFont="1" applyBorder="1" applyAlignment="1">
      <alignment/>
    </xf>
    <xf numFmtId="164" fontId="0" fillId="0" borderId="25" xfId="0" applyNumberFormat="1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5" xfId="0" applyFont="1" applyBorder="1" applyAlignment="1">
      <alignment/>
    </xf>
    <xf numFmtId="0" fontId="4" fillId="0" borderId="23" xfId="0" applyFont="1" applyBorder="1" applyAlignment="1">
      <alignment/>
    </xf>
    <xf numFmtId="164" fontId="0" fillId="0" borderId="25" xfId="43" applyNumberFormat="1" applyFont="1" applyBorder="1" applyAlignment="1">
      <alignment/>
    </xf>
    <xf numFmtId="0" fontId="4" fillId="0" borderId="26" xfId="0" applyFont="1" applyBorder="1" applyAlignment="1">
      <alignment/>
    </xf>
    <xf numFmtId="10" fontId="0" fillId="0" borderId="27" xfId="74" applyNumberFormat="1" applyFont="1" applyBorder="1" applyAlignment="1">
      <alignment/>
    </xf>
    <xf numFmtId="169" fontId="3" fillId="0" borderId="0" xfId="70" applyFont="1" applyFill="1" applyBorder="1" applyAlignment="1">
      <alignment horizontal="center"/>
      <protection/>
    </xf>
    <xf numFmtId="165" fontId="3" fillId="0" borderId="0" xfId="74" applyNumberFormat="1" applyFont="1" applyFill="1" applyBorder="1" applyAlignment="1">
      <alignment/>
    </xf>
    <xf numFmtId="43" fontId="3" fillId="0" borderId="0" xfId="43" applyNumberFormat="1" applyFont="1" applyFill="1" applyBorder="1" applyAlignment="1">
      <alignment/>
    </xf>
    <xf numFmtId="174" fontId="3" fillId="0" borderId="0" xfId="43" applyNumberFormat="1" applyFont="1" applyBorder="1" applyAlignment="1">
      <alignment/>
    </xf>
    <xf numFmtId="174" fontId="5" fillId="0" borderId="0" xfId="0" applyNumberFormat="1" applyFont="1" applyBorder="1" applyAlignment="1">
      <alignment/>
    </xf>
    <xf numFmtId="174" fontId="3" fillId="0" borderId="0" xfId="0" applyNumberFormat="1" applyFont="1" applyBorder="1" applyAlignment="1">
      <alignment/>
    </xf>
    <xf numFmtId="164" fontId="5" fillId="0" borderId="0" xfId="43" applyNumberFormat="1" applyFont="1" applyFill="1" applyBorder="1" applyAlignment="1">
      <alignment/>
    </xf>
    <xf numFmtId="164" fontId="5" fillId="0" borderId="22" xfId="43" applyNumberFormat="1" applyFont="1" applyFill="1" applyBorder="1" applyAlignment="1">
      <alignment/>
    </xf>
    <xf numFmtId="3" fontId="4" fillId="0" borderId="0" xfId="0" applyNumberFormat="1" applyFont="1" applyAlignment="1">
      <alignment/>
    </xf>
    <xf numFmtId="168" fontId="4" fillId="0" borderId="0" xfId="0" applyNumberFormat="1" applyFont="1" applyAlignment="1">
      <alignment/>
    </xf>
    <xf numFmtId="174" fontId="4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3" fillId="0" borderId="0" xfId="69" applyFont="1" applyAlignment="1">
      <alignment horizontal="center"/>
      <protection/>
    </xf>
    <xf numFmtId="0" fontId="3" fillId="0" borderId="20" xfId="69" applyFont="1" applyBorder="1" applyAlignment="1">
      <alignment horizontal="center"/>
      <protection/>
    </xf>
    <xf numFmtId="0" fontId="3" fillId="0" borderId="20" xfId="69" applyFont="1" applyFill="1" applyBorder="1" applyAlignment="1">
      <alignment horizontal="center"/>
      <protection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28" xfId="0" applyFont="1" applyBorder="1" applyAlignment="1">
      <alignment horizontal="left"/>
    </xf>
    <xf numFmtId="0" fontId="4" fillId="0" borderId="29" xfId="0" applyFont="1" applyBorder="1" applyAlignment="1">
      <alignment horizontal="right"/>
    </xf>
    <xf numFmtId="0" fontId="4" fillId="0" borderId="30" xfId="0" applyFont="1" applyBorder="1" applyAlignment="1">
      <alignment horizontal="right"/>
    </xf>
    <xf numFmtId="168" fontId="3" fillId="0" borderId="31" xfId="43" applyNumberFormat="1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29" fillId="0" borderId="0" xfId="0" applyFont="1" applyAlignment="1">
      <alignment/>
    </xf>
    <xf numFmtId="168" fontId="3" fillId="0" borderId="32" xfId="43" applyNumberFormat="1" applyFont="1" applyFill="1" applyBorder="1" applyAlignment="1">
      <alignment/>
    </xf>
    <xf numFmtId="164" fontId="4" fillId="0" borderId="0" xfId="43" applyNumberFormat="1" applyFont="1" applyFill="1" applyBorder="1" applyAlignment="1">
      <alignment/>
    </xf>
    <xf numFmtId="10" fontId="4" fillId="0" borderId="0" xfId="0" applyNumberFormat="1" applyFont="1" applyFill="1" applyBorder="1" applyAlignment="1">
      <alignment/>
    </xf>
    <xf numFmtId="0" fontId="0" fillId="0" borderId="0" xfId="0" applyAlignment="1">
      <alignment horizontal="right"/>
    </xf>
    <xf numFmtId="10" fontId="0" fillId="0" borderId="0" xfId="0" applyNumberFormat="1" applyAlignment="1">
      <alignment/>
    </xf>
    <xf numFmtId="165" fontId="0" fillId="0" borderId="0" xfId="0" applyNumberFormat="1" applyAlignment="1">
      <alignment/>
    </xf>
    <xf numFmtId="164" fontId="34" fillId="0" borderId="25" xfId="43" applyNumberFormat="1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29" fillId="0" borderId="0" xfId="0" applyFont="1" applyBorder="1" applyAlignment="1">
      <alignment/>
    </xf>
    <xf numFmtId="0" fontId="0" fillId="0" borderId="0" xfId="0" applyFont="1" applyAlignment="1">
      <alignment horizontal="left"/>
    </xf>
    <xf numFmtId="0" fontId="29" fillId="0" borderId="0" xfId="0" applyFont="1" applyBorder="1" applyAlignment="1">
      <alignment horizontal="right"/>
    </xf>
    <xf numFmtId="0" fontId="4" fillId="0" borderId="0" xfId="0" applyFont="1" applyFill="1" applyAlignment="1">
      <alignment/>
    </xf>
    <xf numFmtId="43" fontId="4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Border="1" applyAlignment="1">
      <alignment/>
    </xf>
    <xf numFmtId="164" fontId="34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64" fontId="0" fillId="0" borderId="0" xfId="43" applyNumberFormat="1" applyFont="1" applyBorder="1" applyAlignment="1">
      <alignment/>
    </xf>
    <xf numFmtId="164" fontId="34" fillId="0" borderId="0" xfId="43" applyNumberFormat="1" applyFont="1" applyBorder="1" applyAlignment="1">
      <alignment/>
    </xf>
    <xf numFmtId="10" fontId="0" fillId="0" borderId="0" xfId="74" applyNumberFormat="1" applyFont="1" applyBorder="1" applyAlignment="1">
      <alignment/>
    </xf>
    <xf numFmtId="0" fontId="29" fillId="0" borderId="0" xfId="0" applyFont="1" applyAlignment="1">
      <alignment horizontal="center"/>
    </xf>
    <xf numFmtId="10" fontId="3" fillId="0" borderId="0" xfId="74" applyNumberFormat="1" applyFont="1" applyAlignment="1">
      <alignment/>
    </xf>
    <xf numFmtId="167" fontId="5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6" fontId="3" fillId="0" borderId="0" xfId="0" applyNumberFormat="1" applyFont="1" applyBorder="1" applyAlignment="1" quotePrefix="1">
      <alignment horizontal="center"/>
    </xf>
    <xf numFmtId="6" fontId="3" fillId="0" borderId="20" xfId="0" applyNumberFormat="1" applyFont="1" applyBorder="1" applyAlignment="1">
      <alignment horizontal="center"/>
    </xf>
    <xf numFmtId="164" fontId="54" fillId="0" borderId="0" xfId="43" applyNumberFormat="1" applyFont="1" applyFill="1" applyBorder="1" applyAlignment="1">
      <alignment/>
    </xf>
    <xf numFmtId="164" fontId="54" fillId="0" borderId="22" xfId="43" applyNumberFormat="1" applyFont="1" applyFill="1" applyBorder="1" applyAlignment="1">
      <alignment/>
    </xf>
    <xf numFmtId="168" fontId="5" fillId="0" borderId="0" xfId="43" applyNumberFormat="1" applyFont="1" applyAlignment="1">
      <alignment/>
    </xf>
    <xf numFmtId="168" fontId="3" fillId="0" borderId="0" xfId="43" applyNumberFormat="1" applyFont="1" applyAlignment="1">
      <alignment/>
    </xf>
    <xf numFmtId="168" fontId="3" fillId="0" borderId="0" xfId="43" applyNumberFormat="1" applyFont="1" applyBorder="1" applyAlignment="1">
      <alignment/>
    </xf>
    <xf numFmtId="168" fontId="3" fillId="0" borderId="22" xfId="43" applyNumberFormat="1" applyFont="1" applyBorder="1" applyAlignment="1">
      <alignment/>
    </xf>
    <xf numFmtId="168" fontId="3" fillId="0" borderId="22" xfId="43" applyNumberFormat="1" applyFont="1" applyBorder="1" applyAlignment="1">
      <alignment/>
    </xf>
    <xf numFmtId="168" fontId="4" fillId="0" borderId="0" xfId="74" applyNumberFormat="1" applyFont="1" applyBorder="1" applyAlignment="1">
      <alignment/>
    </xf>
    <xf numFmtId="168" fontId="4" fillId="0" borderId="0" xfId="0" applyNumberFormat="1" applyFont="1" applyBorder="1" applyAlignment="1">
      <alignment/>
    </xf>
    <xf numFmtId="168" fontId="30" fillId="0" borderId="0" xfId="74" applyNumberFormat="1" applyFont="1" applyBorder="1" applyAlignment="1">
      <alignment/>
    </xf>
    <xf numFmtId="168" fontId="5" fillId="0" borderId="0" xfId="43" applyNumberFormat="1" applyFont="1" applyBorder="1" applyAlignment="1">
      <alignment/>
    </xf>
    <xf numFmtId="168" fontId="5" fillId="0" borderId="22" xfId="43" applyNumberFormat="1" applyFont="1" applyBorder="1" applyAlignment="1">
      <alignment/>
    </xf>
    <xf numFmtId="168" fontId="4" fillId="0" borderId="0" xfId="0" applyNumberFormat="1" applyFont="1" applyAlignment="1">
      <alignment/>
    </xf>
    <xf numFmtId="168" fontId="3" fillId="0" borderId="22" xfId="0" applyNumberFormat="1" applyFont="1" applyBorder="1" applyAlignment="1">
      <alignment/>
    </xf>
    <xf numFmtId="168" fontId="3" fillId="0" borderId="33" xfId="0" applyNumberFormat="1" applyFont="1" applyBorder="1" applyAlignment="1">
      <alignment/>
    </xf>
    <xf numFmtId="168" fontId="3" fillId="0" borderId="0" xfId="74" applyNumberFormat="1" applyFont="1" applyBorder="1" applyAlignment="1">
      <alignment/>
    </xf>
    <xf numFmtId="174" fontId="3" fillId="0" borderId="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74" fontId="4" fillId="0" borderId="0" xfId="0" applyNumberFormat="1" applyFont="1" applyAlignment="1">
      <alignment/>
    </xf>
    <xf numFmtId="10" fontId="54" fillId="0" borderId="0" xfId="74" applyNumberFormat="1" applyFont="1" applyAlignment="1">
      <alignment/>
    </xf>
    <xf numFmtId="167" fontId="54" fillId="0" borderId="0" xfId="0" applyNumberFormat="1" applyFont="1" applyBorder="1" applyAlignment="1">
      <alignment/>
    </xf>
    <xf numFmtId="168" fontId="8" fillId="0" borderId="0" xfId="43" applyNumberFormat="1" applyFont="1" applyBorder="1" applyAlignment="1">
      <alignment/>
    </xf>
    <xf numFmtId="168" fontId="3" fillId="0" borderId="33" xfId="43" applyNumberFormat="1" applyFont="1" applyBorder="1" applyAlignment="1">
      <alignment/>
    </xf>
    <xf numFmtId="168" fontId="3" fillId="0" borderId="33" xfId="43" applyNumberFormat="1" applyFont="1" applyBorder="1" applyAlignment="1">
      <alignment/>
    </xf>
    <xf numFmtId="176" fontId="0" fillId="0" borderId="0" xfId="0" applyNumberFormat="1" applyBorder="1" applyAlignment="1">
      <alignment/>
    </xf>
    <xf numFmtId="0" fontId="4" fillId="0" borderId="0" xfId="0" applyFont="1" applyAlignment="1">
      <alignment horizontal="center"/>
    </xf>
    <xf numFmtId="9" fontId="4" fillId="0" borderId="0" xfId="74" applyFont="1" applyAlignment="1">
      <alignment/>
    </xf>
    <xf numFmtId="0" fontId="43" fillId="0" borderId="0" xfId="0" applyFont="1" applyAlignment="1">
      <alignment horizontal="center"/>
    </xf>
    <xf numFmtId="168" fontId="43" fillId="0" borderId="0" xfId="0" applyNumberFormat="1" applyFont="1" applyAlignment="1">
      <alignment/>
    </xf>
    <xf numFmtId="0" fontId="43" fillId="0" borderId="0" xfId="0" applyFont="1" applyAlignment="1">
      <alignment/>
    </xf>
    <xf numFmtId="0" fontId="0" fillId="0" borderId="22" xfId="0" applyBorder="1" applyAlignment="1">
      <alignment/>
    </xf>
    <xf numFmtId="174" fontId="3" fillId="0" borderId="0" xfId="0" applyNumberFormat="1" applyFont="1" applyAlignment="1">
      <alignment/>
    </xf>
    <xf numFmtId="174" fontId="3" fillId="0" borderId="22" xfId="0" applyNumberFormat="1" applyFont="1" applyBorder="1" applyAlignment="1">
      <alignment/>
    </xf>
    <xf numFmtId="0" fontId="30" fillId="0" borderId="0" xfId="0" applyFont="1" applyBorder="1" applyAlignment="1">
      <alignment horizontal="center"/>
    </xf>
    <xf numFmtId="167" fontId="4" fillId="0" borderId="0" xfId="0" applyNumberFormat="1" applyFont="1" applyBorder="1" applyAlignment="1">
      <alignment/>
    </xf>
    <xf numFmtId="175" fontId="4" fillId="0" borderId="0" xfId="0" applyNumberFormat="1" applyFont="1" applyAlignment="1">
      <alignment/>
    </xf>
    <xf numFmtId="187" fontId="4" fillId="0" borderId="0" xfId="74" applyNumberFormat="1" applyFont="1" applyAlignment="1">
      <alignment/>
    </xf>
    <xf numFmtId="43" fontId="4" fillId="0" borderId="0" xfId="43" applyFont="1" applyAlignment="1">
      <alignment/>
    </xf>
    <xf numFmtId="0" fontId="0" fillId="0" borderId="23" xfId="0" applyFont="1" applyBorder="1" applyAlignment="1">
      <alignment horizontal="right"/>
    </xf>
    <xf numFmtId="168" fontId="0" fillId="0" borderId="25" xfId="43" applyNumberFormat="1" applyFont="1" applyBorder="1" applyAlignment="1">
      <alignment/>
    </xf>
    <xf numFmtId="168" fontId="0" fillId="0" borderId="25" xfId="0" applyNumberFormat="1" applyFont="1" applyBorder="1" applyAlignment="1">
      <alignment/>
    </xf>
    <xf numFmtId="0" fontId="0" fillId="0" borderId="26" xfId="0" applyFont="1" applyBorder="1" applyAlignment="1">
      <alignment horizontal="right"/>
    </xf>
    <xf numFmtId="0" fontId="0" fillId="0" borderId="27" xfId="0" applyFont="1" applyBorder="1" applyAlignment="1">
      <alignment/>
    </xf>
    <xf numFmtId="165" fontId="0" fillId="0" borderId="0" xfId="74" applyNumberFormat="1" applyFont="1" applyAlignment="1">
      <alignment/>
    </xf>
    <xf numFmtId="164" fontId="0" fillId="0" borderId="0" xfId="43" applyNumberFormat="1" applyFont="1" applyAlignment="1">
      <alignment/>
    </xf>
    <xf numFmtId="43" fontId="0" fillId="0" borderId="0" xfId="43" applyFont="1" applyAlignment="1">
      <alignment/>
    </xf>
    <xf numFmtId="9" fontId="0" fillId="0" borderId="0" xfId="74" applyFont="1" applyAlignment="1">
      <alignment/>
    </xf>
    <xf numFmtId="165" fontId="0" fillId="0" borderId="0" xfId="74" applyNumberFormat="1" applyFont="1" applyAlignment="1">
      <alignment/>
    </xf>
    <xf numFmtId="9" fontId="0" fillId="0" borderId="0" xfId="74" applyNumberFormat="1" applyFont="1" applyAlignment="1">
      <alignment/>
    </xf>
    <xf numFmtId="165" fontId="3" fillId="0" borderId="0" xfId="43" applyNumberFormat="1" applyFont="1" applyBorder="1" applyAlignment="1">
      <alignment/>
    </xf>
    <xf numFmtId="169" fontId="3" fillId="0" borderId="0" xfId="71" applyFont="1" applyFill="1" applyBorder="1" applyAlignment="1">
      <alignment horizontal="center"/>
      <protection/>
    </xf>
    <xf numFmtId="169" fontId="3" fillId="0" borderId="20" xfId="71" applyFont="1" applyFill="1" applyBorder="1" applyAlignment="1">
      <alignment horizontal="center"/>
      <protection/>
    </xf>
    <xf numFmtId="174" fontId="3" fillId="0" borderId="0" xfId="0" applyNumberFormat="1" applyFont="1" applyFill="1" applyBorder="1" applyAlignment="1">
      <alignment horizontal="left"/>
    </xf>
    <xf numFmtId="164" fontId="4" fillId="0" borderId="0" xfId="43" applyNumberFormat="1" applyFont="1" applyAlignment="1">
      <alignment/>
    </xf>
    <xf numFmtId="10" fontId="3" fillId="0" borderId="0" xfId="43" applyNumberFormat="1" applyFont="1" applyBorder="1" applyAlignment="1">
      <alignment/>
    </xf>
    <xf numFmtId="10" fontId="3" fillId="0" borderId="0" xfId="74" applyNumberFormat="1" applyFont="1" applyBorder="1" applyAlignment="1">
      <alignment/>
    </xf>
    <xf numFmtId="164" fontId="55" fillId="0" borderId="0" xfId="43" applyNumberFormat="1" applyFont="1" applyFill="1" applyBorder="1" applyAlignment="1">
      <alignment/>
    </xf>
    <xf numFmtId="164" fontId="55" fillId="0" borderId="22" xfId="43" applyNumberFormat="1" applyFont="1" applyFill="1" applyBorder="1" applyAlignment="1">
      <alignment/>
    </xf>
    <xf numFmtId="167" fontId="55" fillId="0" borderId="0" xfId="0" applyNumberFormat="1" applyFont="1" applyBorder="1" applyAlignment="1">
      <alignment/>
    </xf>
    <xf numFmtId="164" fontId="3" fillId="0" borderId="22" xfId="43" applyNumberFormat="1" applyFon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164" fontId="3" fillId="0" borderId="22" xfId="43" applyNumberFormat="1" applyFon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164" fontId="9" fillId="0" borderId="0" xfId="43" applyNumberFormat="1" applyFont="1" applyFill="1" applyBorder="1" applyAlignment="1">
      <alignment/>
    </xf>
    <xf numFmtId="165" fontId="0" fillId="0" borderId="0" xfId="74" applyNumberFormat="1" applyFont="1" applyBorder="1" applyAlignment="1">
      <alignment/>
    </xf>
    <xf numFmtId="10" fontId="55" fillId="0" borderId="0" xfId="74" applyNumberFormat="1" applyFont="1" applyFill="1" applyBorder="1" applyAlignment="1">
      <alignment/>
    </xf>
    <xf numFmtId="164" fontId="55" fillId="0" borderId="0" xfId="0" applyNumberFormat="1" applyFont="1" applyFill="1" applyBorder="1" applyAlignment="1">
      <alignment/>
    </xf>
    <xf numFmtId="10" fontId="55" fillId="0" borderId="0" xfId="74" applyNumberFormat="1" applyFont="1" applyFill="1" applyAlignment="1">
      <alignment/>
    </xf>
    <xf numFmtId="41" fontId="55" fillId="0" borderId="0" xfId="74" applyNumberFormat="1" applyFont="1" applyFill="1" applyBorder="1" applyAlignment="1">
      <alignment/>
    </xf>
    <xf numFmtId="174" fontId="55" fillId="0" borderId="0" xfId="43" applyNumberFormat="1" applyFont="1" applyFill="1" applyBorder="1" applyAlignment="1">
      <alignment/>
    </xf>
    <xf numFmtId="174" fontId="55" fillId="0" borderId="0" xfId="0" applyNumberFormat="1" applyFont="1" applyFill="1" applyBorder="1" applyAlignment="1">
      <alignment/>
    </xf>
    <xf numFmtId="174" fontId="55" fillId="0" borderId="0" xfId="0" applyNumberFormat="1" applyFont="1" applyFill="1" applyBorder="1" applyAlignment="1">
      <alignment horizontal="right"/>
    </xf>
    <xf numFmtId="174" fontId="55" fillId="0" borderId="0" xfId="43" applyNumberFormat="1" applyFont="1" applyFill="1" applyBorder="1" applyAlignment="1">
      <alignment horizontal="right"/>
    </xf>
    <xf numFmtId="174" fontId="56" fillId="0" borderId="0" xfId="74" applyNumberFormat="1" applyFont="1" applyFill="1" applyBorder="1" applyAlignment="1">
      <alignment/>
    </xf>
    <xf numFmtId="174" fontId="56" fillId="0" borderId="0" xfId="0" applyNumberFormat="1" applyFont="1" applyFill="1" applyBorder="1" applyAlignment="1">
      <alignment/>
    </xf>
    <xf numFmtId="167" fontId="5" fillId="0" borderId="0" xfId="43" applyNumberFormat="1" applyFont="1" applyFill="1" applyBorder="1" applyAlignment="1">
      <alignment/>
    </xf>
    <xf numFmtId="43" fontId="3" fillId="0" borderId="0" xfId="43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43" fontId="0" fillId="0" borderId="0" xfId="0" applyNumberFormat="1" applyFont="1" applyFill="1" applyBorder="1" applyAlignment="1">
      <alignment horizontal="left"/>
    </xf>
    <xf numFmtId="43" fontId="3" fillId="0" borderId="0" xfId="0" applyNumberFormat="1" applyFont="1" applyFill="1" applyBorder="1" applyAlignment="1">
      <alignment/>
    </xf>
    <xf numFmtId="164" fontId="4" fillId="0" borderId="0" xfId="0" applyNumberFormat="1" applyFont="1" applyFill="1" applyBorder="1" applyAlignment="1">
      <alignment/>
    </xf>
    <xf numFmtId="169" fontId="0" fillId="0" borderId="0" xfId="70" applyFont="1" applyFill="1" applyBorder="1" applyAlignment="1">
      <alignment horizontal="left"/>
      <protection/>
    </xf>
    <xf numFmtId="0" fontId="0" fillId="0" borderId="0" xfId="0" applyFill="1" applyBorder="1" applyAlignment="1">
      <alignment/>
    </xf>
    <xf numFmtId="164" fontId="4" fillId="0" borderId="0" xfId="0" applyNumberFormat="1" applyFont="1" applyFill="1" applyAlignment="1">
      <alignment/>
    </xf>
    <xf numFmtId="168" fontId="55" fillId="0" borderId="31" xfId="0" applyNumberFormat="1" applyFont="1" applyFill="1" applyBorder="1" applyAlignment="1">
      <alignment/>
    </xf>
    <xf numFmtId="168" fontId="55" fillId="0" borderId="34" xfId="0" applyNumberFormat="1" applyFont="1" applyFill="1" applyBorder="1" applyAlignment="1">
      <alignment/>
    </xf>
    <xf numFmtId="168" fontId="55" fillId="0" borderId="0" xfId="43" applyNumberFormat="1" applyFont="1" applyFill="1" applyAlignment="1">
      <alignment/>
    </xf>
    <xf numFmtId="164" fontId="0" fillId="0" borderId="0" xfId="0" applyNumberFormat="1" applyFont="1" applyFill="1" applyAlignment="1">
      <alignment/>
    </xf>
    <xf numFmtId="0" fontId="29" fillId="31" borderId="28" xfId="0" applyFont="1" applyFill="1" applyBorder="1" applyAlignment="1">
      <alignment/>
    </xf>
    <xf numFmtId="0" fontId="0" fillId="31" borderId="32" xfId="0" applyFill="1" applyBorder="1" applyAlignment="1">
      <alignment/>
    </xf>
    <xf numFmtId="0" fontId="0" fillId="31" borderId="29" xfId="0" applyFill="1" applyBorder="1" applyAlignment="1">
      <alignment/>
    </xf>
    <xf numFmtId="0" fontId="0" fillId="31" borderId="31" xfId="0" applyFill="1" applyBorder="1" applyAlignment="1">
      <alignment/>
    </xf>
    <xf numFmtId="9" fontId="0" fillId="31" borderId="29" xfId="74" applyFont="1" applyFill="1" applyBorder="1" applyAlignment="1">
      <alignment/>
    </xf>
    <xf numFmtId="165" fontId="0" fillId="31" borderId="31" xfId="74" applyNumberFormat="1" applyFont="1" applyFill="1" applyBorder="1" applyAlignment="1">
      <alignment/>
    </xf>
    <xf numFmtId="9" fontId="0" fillId="31" borderId="29" xfId="74" applyFont="1" applyFill="1" applyBorder="1" applyAlignment="1">
      <alignment horizontal="right"/>
    </xf>
    <xf numFmtId="168" fontId="0" fillId="31" borderId="31" xfId="0" applyNumberFormat="1" applyFill="1" applyBorder="1" applyAlignment="1">
      <alignment/>
    </xf>
    <xf numFmtId="168" fontId="31" fillId="31" borderId="31" xfId="0" applyNumberFormat="1" applyFont="1" applyFill="1" applyBorder="1" applyAlignment="1">
      <alignment/>
    </xf>
    <xf numFmtId="165" fontId="0" fillId="31" borderId="29" xfId="74" applyNumberFormat="1" applyFont="1" applyFill="1" applyBorder="1" applyAlignment="1">
      <alignment horizontal="right"/>
    </xf>
    <xf numFmtId="0" fontId="0" fillId="31" borderId="29" xfId="0" applyFont="1" applyFill="1" applyBorder="1" applyAlignment="1">
      <alignment/>
    </xf>
    <xf numFmtId="9" fontId="0" fillId="31" borderId="31" xfId="0" applyNumberFormat="1" applyFill="1" applyBorder="1" applyAlignment="1">
      <alignment/>
    </xf>
    <xf numFmtId="9" fontId="31" fillId="31" borderId="31" xfId="0" applyNumberFormat="1" applyFont="1" applyFill="1" applyBorder="1" applyAlignment="1">
      <alignment/>
    </xf>
    <xf numFmtId="9" fontId="0" fillId="31" borderId="31" xfId="74" applyFont="1" applyFill="1" applyBorder="1" applyAlignment="1">
      <alignment/>
    </xf>
    <xf numFmtId="9" fontId="0" fillId="31" borderId="29" xfId="74" applyFont="1" applyFill="1" applyBorder="1" applyAlignment="1">
      <alignment/>
    </xf>
    <xf numFmtId="174" fontId="3" fillId="0" borderId="0" xfId="43" applyNumberFormat="1" applyFont="1" applyFill="1" applyBorder="1" applyAlignment="1">
      <alignment/>
    </xf>
    <xf numFmtId="165" fontId="0" fillId="31" borderId="31" xfId="74" applyNumberFormat="1" applyFont="1" applyFill="1" applyBorder="1" applyAlignment="1">
      <alignment/>
    </xf>
    <xf numFmtId="9" fontId="0" fillId="31" borderId="30" xfId="74" applyFont="1" applyFill="1" applyBorder="1" applyAlignment="1">
      <alignment horizontal="right"/>
    </xf>
    <xf numFmtId="165" fontId="0" fillId="31" borderId="34" xfId="74" applyNumberFormat="1" applyFont="1" applyFill="1" applyBorder="1" applyAlignment="1">
      <alignment/>
    </xf>
    <xf numFmtId="3" fontId="4" fillId="0" borderId="0" xfId="0" applyNumberFormat="1" applyFont="1" applyAlignment="1">
      <alignment/>
    </xf>
    <xf numFmtId="168" fontId="3" fillId="0" borderId="0" xfId="43" applyNumberFormat="1" applyFont="1" applyFill="1" applyBorder="1" applyAlignment="1">
      <alignment horizontal="right"/>
    </xf>
    <xf numFmtId="0" fontId="8" fillId="0" borderId="0" xfId="0" applyFont="1" applyBorder="1" applyAlignment="1">
      <alignment horizontal="right"/>
    </xf>
    <xf numFmtId="164" fontId="55" fillId="0" borderId="0" xfId="74" applyNumberFormat="1" applyFont="1" applyFill="1" applyBorder="1" applyAlignment="1">
      <alignment/>
    </xf>
    <xf numFmtId="43" fontId="5" fillId="0" borderId="0" xfId="43" applyFont="1" applyFill="1" applyBorder="1" applyAlignment="1">
      <alignment/>
    </xf>
    <xf numFmtId="41" fontId="55" fillId="0" borderId="22" xfId="74" applyNumberFormat="1" applyFont="1" applyFill="1" applyBorder="1" applyAlignment="1">
      <alignment/>
    </xf>
    <xf numFmtId="164" fontId="55" fillId="0" borderId="0" xfId="43" applyNumberFormat="1" applyFont="1" applyFill="1" applyBorder="1" applyAlignment="1">
      <alignment horizontal="right"/>
    </xf>
    <xf numFmtId="168" fontId="7" fillId="0" borderId="0" xfId="74" applyNumberFormat="1" applyFont="1" applyBorder="1" applyAlignment="1">
      <alignment/>
    </xf>
    <xf numFmtId="168" fontId="3" fillId="0" borderId="0" xfId="43" applyNumberFormat="1" applyFont="1" applyAlignment="1">
      <alignment horizontal="right"/>
    </xf>
    <xf numFmtId="0" fontId="3" fillId="0" borderId="0" xfId="0" applyFont="1" applyAlignment="1">
      <alignment horizontal="right"/>
    </xf>
    <xf numFmtId="43" fontId="55" fillId="0" borderId="0" xfId="43" applyFont="1" applyFill="1" applyBorder="1" applyAlignment="1">
      <alignment/>
    </xf>
    <xf numFmtId="3" fontId="4" fillId="0" borderId="0" xfId="0" applyNumberFormat="1" applyFont="1" applyFill="1" applyAlignment="1">
      <alignment/>
    </xf>
    <xf numFmtId="43" fontId="4" fillId="0" borderId="0" xfId="43" applyFont="1" applyAlignment="1">
      <alignment/>
    </xf>
    <xf numFmtId="169" fontId="3" fillId="0" borderId="0" xfId="71" applyFont="1" applyFill="1" applyBorder="1" applyAlignment="1" quotePrefix="1">
      <alignment horizontal="center"/>
      <protection/>
    </xf>
    <xf numFmtId="0" fontId="3" fillId="0" borderId="29" xfId="0" applyFont="1" applyFill="1" applyBorder="1" applyAlignment="1">
      <alignment horizontal="center"/>
    </xf>
    <xf numFmtId="169" fontId="3" fillId="0" borderId="29" xfId="71" applyFont="1" applyFill="1" applyBorder="1" applyAlignment="1" quotePrefix="1">
      <alignment horizontal="center"/>
      <protection/>
    </xf>
    <xf numFmtId="0" fontId="3" fillId="0" borderId="30" xfId="0" applyFont="1" applyFill="1" applyBorder="1" applyAlignment="1">
      <alignment horizontal="center"/>
    </xf>
    <xf numFmtId="168" fontId="3" fillId="0" borderId="29" xfId="43" applyNumberFormat="1" applyFont="1" applyFill="1" applyBorder="1" applyAlignment="1">
      <alignment/>
    </xf>
    <xf numFmtId="168" fontId="3" fillId="0" borderId="30" xfId="43" applyNumberFormat="1" applyFont="1" applyFill="1" applyBorder="1" applyAlignment="1">
      <alignment/>
    </xf>
    <xf numFmtId="0" fontId="3" fillId="0" borderId="31" xfId="0" applyFont="1" applyFill="1" applyBorder="1" applyAlignment="1">
      <alignment horizontal="center"/>
    </xf>
    <xf numFmtId="169" fontId="3" fillId="0" borderId="31" xfId="71" applyFont="1" applyFill="1" applyBorder="1" applyAlignment="1" quotePrefix="1">
      <alignment horizontal="center"/>
      <protection/>
    </xf>
    <xf numFmtId="0" fontId="3" fillId="0" borderId="34" xfId="0" applyFont="1" applyFill="1" applyBorder="1" applyAlignment="1">
      <alignment horizontal="center"/>
    </xf>
    <xf numFmtId="165" fontId="3" fillId="0" borderId="31" xfId="74" applyNumberFormat="1" applyFont="1" applyFill="1" applyBorder="1" applyAlignment="1">
      <alignment/>
    </xf>
    <xf numFmtId="168" fontId="3" fillId="0" borderId="31" xfId="43" applyNumberFormat="1" applyFont="1" applyFill="1" applyBorder="1" applyAlignment="1">
      <alignment/>
    </xf>
    <xf numFmtId="165" fontId="3" fillId="0" borderId="34" xfId="74" applyNumberFormat="1" applyFont="1" applyBorder="1" applyAlignment="1">
      <alignment/>
    </xf>
    <xf numFmtId="169" fontId="3" fillId="0" borderId="20" xfId="70" applyFont="1" applyFill="1" applyBorder="1" applyAlignment="1">
      <alignment horizontal="center"/>
      <protection/>
    </xf>
    <xf numFmtId="0" fontId="3" fillId="0" borderId="30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165" fontId="3" fillId="0" borderId="31" xfId="74" applyNumberFormat="1" applyFont="1" applyBorder="1" applyAlignment="1">
      <alignment/>
    </xf>
    <xf numFmtId="43" fontId="3" fillId="0" borderId="31" xfId="43" applyNumberFormat="1" applyFont="1" applyBorder="1" applyAlignment="1">
      <alignment/>
    </xf>
    <xf numFmtId="165" fontId="3" fillId="0" borderId="31" xfId="43" applyNumberFormat="1" applyFont="1" applyBorder="1" applyAlignment="1">
      <alignment/>
    </xf>
    <xf numFmtId="168" fontId="3" fillId="0" borderId="29" xfId="43" applyNumberFormat="1" applyFont="1" applyFill="1" applyBorder="1" applyAlignment="1">
      <alignment horizontal="right"/>
    </xf>
    <xf numFmtId="168" fontId="3" fillId="0" borderId="31" xfId="43" applyNumberFormat="1" applyFont="1" applyFill="1" applyBorder="1" applyAlignment="1">
      <alignment horizontal="right"/>
    </xf>
    <xf numFmtId="168" fontId="3" fillId="0" borderId="30" xfId="43" applyNumberFormat="1" applyFont="1" applyBorder="1" applyAlignment="1">
      <alignment/>
    </xf>
    <xf numFmtId="0" fontId="3" fillId="0" borderId="28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168" fontId="3" fillId="0" borderId="29" xfId="74" applyNumberFormat="1" applyFont="1" applyBorder="1" applyAlignment="1">
      <alignment/>
    </xf>
    <xf numFmtId="0" fontId="0" fillId="0" borderId="31" xfId="0" applyBorder="1" applyAlignment="1">
      <alignment/>
    </xf>
    <xf numFmtId="43" fontId="3" fillId="0" borderId="29" xfId="43" applyNumberFormat="1" applyFont="1" applyBorder="1" applyAlignment="1">
      <alignment/>
    </xf>
    <xf numFmtId="165" fontId="3" fillId="0" borderId="29" xfId="43" applyNumberFormat="1" applyFont="1" applyBorder="1" applyAlignment="1">
      <alignment/>
    </xf>
    <xf numFmtId="168" fontId="3" fillId="0" borderId="29" xfId="74" applyNumberFormat="1" applyFont="1" applyBorder="1" applyAlignment="1">
      <alignment horizontal="right"/>
    </xf>
    <xf numFmtId="0" fontId="30" fillId="0" borderId="29" xfId="0" applyFont="1" applyBorder="1" applyAlignment="1">
      <alignment horizontal="left"/>
    </xf>
    <xf numFmtId="43" fontId="4" fillId="0" borderId="0" xfId="74" applyNumberFormat="1" applyFont="1" applyAlignment="1">
      <alignment/>
    </xf>
    <xf numFmtId="1" fontId="4" fillId="0" borderId="0" xfId="0" applyNumberFormat="1" applyFont="1" applyAlignment="1">
      <alignment/>
    </xf>
    <xf numFmtId="3" fontId="55" fillId="0" borderId="0" xfId="0" applyNumberFormat="1" applyFont="1" applyAlignment="1">
      <alignment/>
    </xf>
    <xf numFmtId="164" fontId="55" fillId="0" borderId="0" xfId="0" applyNumberFormat="1" applyFont="1" applyAlignment="1">
      <alignment/>
    </xf>
    <xf numFmtId="3" fontId="55" fillId="0" borderId="22" xfId="0" applyNumberFormat="1" applyFont="1" applyBorder="1" applyAlignment="1">
      <alignment/>
    </xf>
    <xf numFmtId="43" fontId="4" fillId="0" borderId="0" xfId="43" applyFont="1" applyFill="1" applyAlignment="1">
      <alignment/>
    </xf>
    <xf numFmtId="3" fontId="55" fillId="0" borderId="0" xfId="0" applyNumberFormat="1" applyFont="1" applyFill="1" applyAlignment="1">
      <alignment/>
    </xf>
    <xf numFmtId="3" fontId="55" fillId="0" borderId="22" xfId="0" applyNumberFormat="1" applyFont="1" applyFill="1" applyBorder="1" applyAlignment="1">
      <alignment/>
    </xf>
    <xf numFmtId="164" fontId="55" fillId="0" borderId="0" xfId="43" applyNumberFormat="1" applyFont="1" applyAlignment="1">
      <alignment/>
    </xf>
    <xf numFmtId="173" fontId="4" fillId="0" borderId="0" xfId="43" applyNumberFormat="1" applyFont="1" applyFill="1" applyAlignment="1">
      <alignment/>
    </xf>
    <xf numFmtId="196" fontId="4" fillId="0" borderId="0" xfId="43" applyNumberFormat="1" applyFont="1" applyFill="1" applyAlignment="1">
      <alignment/>
    </xf>
    <xf numFmtId="164" fontId="4" fillId="0" borderId="0" xfId="43" applyNumberFormat="1" applyFont="1" applyFill="1" applyAlignment="1">
      <alignment/>
    </xf>
    <xf numFmtId="164" fontId="9" fillId="0" borderId="0" xfId="43" applyNumberFormat="1" applyFont="1" applyFill="1" applyBorder="1" applyAlignment="1">
      <alignment/>
    </xf>
    <xf numFmtId="164" fontId="9" fillId="0" borderId="0" xfId="43" applyNumberFormat="1" applyFont="1" applyBorder="1" applyAlignment="1">
      <alignment/>
    </xf>
    <xf numFmtId="168" fontId="0" fillId="0" borderId="0" xfId="0" applyNumberFormat="1" applyFont="1" applyFill="1" applyAlignment="1">
      <alignment/>
    </xf>
    <xf numFmtId="174" fontId="0" fillId="0" borderId="0" xfId="0" applyNumberFormat="1" applyFont="1" applyFill="1" applyAlignment="1">
      <alignment/>
    </xf>
    <xf numFmtId="169" fontId="3" fillId="0" borderId="0" xfId="70" applyFont="1" applyFill="1" applyAlignment="1">
      <alignment horizontal="center"/>
      <protection/>
    </xf>
    <xf numFmtId="0" fontId="57" fillId="0" borderId="0" xfId="0" applyFont="1" applyAlignment="1">
      <alignment horizontal="center" vertical="center"/>
    </xf>
    <xf numFmtId="0" fontId="57" fillId="0" borderId="0" xfId="0" applyFont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169" fontId="3" fillId="0" borderId="20" xfId="70" applyFont="1" applyFill="1" applyBorder="1" applyAlignment="1">
      <alignment horizontal="center"/>
      <protection/>
    </xf>
    <xf numFmtId="169" fontId="3" fillId="0" borderId="35" xfId="70" applyFont="1" applyFill="1" applyBorder="1" applyAlignment="1">
      <alignment horizontal="center"/>
      <protection/>
    </xf>
    <xf numFmtId="169" fontId="3" fillId="0" borderId="36" xfId="70" applyFont="1" applyFill="1" applyBorder="1" applyAlignment="1">
      <alignment horizontal="center"/>
      <protection/>
    </xf>
    <xf numFmtId="164" fontId="29" fillId="0" borderId="37" xfId="43" applyNumberFormat="1" applyFont="1" applyBorder="1" applyAlignment="1">
      <alignment horizontal="center"/>
    </xf>
    <xf numFmtId="164" fontId="29" fillId="0" borderId="38" xfId="43" applyNumberFormat="1" applyFont="1" applyBorder="1" applyAlignment="1">
      <alignment horizontal="center"/>
    </xf>
    <xf numFmtId="169" fontId="3" fillId="0" borderId="0" xfId="70" applyFont="1" applyFill="1" applyAlignment="1">
      <alignment horizontal="center"/>
      <protection/>
    </xf>
    <xf numFmtId="0" fontId="3" fillId="0" borderId="0" xfId="0" applyFont="1" applyAlignment="1">
      <alignment horizontal="center"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riel" xfId="39"/>
    <cellStyle name="Bad" xfId="40"/>
    <cellStyle name="Calculation" xfId="41"/>
    <cellStyle name="Check Cell" xfId="42"/>
    <cellStyle name="Comma" xfId="43"/>
    <cellStyle name="Comma [0]" xfId="44"/>
    <cellStyle name="Comma 2" xfId="45"/>
    <cellStyle name="Comma 3" xfId="46"/>
    <cellStyle name="Comma 4" xfId="47"/>
    <cellStyle name="Currency" xfId="48"/>
    <cellStyle name="Currency [0]" xfId="49"/>
    <cellStyle name="Currency 2" xfId="50"/>
    <cellStyle name="Currency 3" xfId="51"/>
    <cellStyle name="Explanatory Text" xfId="52"/>
    <cellStyle name="Followed Hyperlink" xfId="53"/>
    <cellStyle name="Good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rmal 2" xfId="63"/>
    <cellStyle name="Normal 2 2" xfId="64"/>
    <cellStyle name="Normal 2_Book1" xfId="65"/>
    <cellStyle name="Normal 3" xfId="66"/>
    <cellStyle name="Normal 4" xfId="67"/>
    <cellStyle name="Normal 5" xfId="68"/>
    <cellStyle name="Normal_JSP Testimony Tables 9-1-06" xfId="69"/>
    <cellStyle name="Normal_RD-WP(Combined 1-01-01 filing)" xfId="70"/>
    <cellStyle name="Normal_Total Allocation Settlement Template" xfId="71"/>
    <cellStyle name="Note" xfId="72"/>
    <cellStyle name="Output" xfId="73"/>
    <cellStyle name="Percent" xfId="74"/>
    <cellStyle name="Percent 2" xfId="75"/>
    <cellStyle name="Percent 2 2" xfId="76"/>
    <cellStyle name="Percent 3" xfId="77"/>
    <cellStyle name="Percent 4" xfId="78"/>
    <cellStyle name="Percent 5" xfId="79"/>
    <cellStyle name="Style 168" xfId="80"/>
    <cellStyle name="Style 21" xfId="81"/>
    <cellStyle name="Style 22" xfId="82"/>
    <cellStyle name="Style 23" xfId="83"/>
    <cellStyle name="Style 24" xfId="84"/>
    <cellStyle name="Style 25" xfId="85"/>
    <cellStyle name="Style 26" xfId="86"/>
    <cellStyle name="Style 27" xfId="87"/>
    <cellStyle name="Style 28" xfId="88"/>
    <cellStyle name="Style 29" xfId="89"/>
    <cellStyle name="Style 30" xfId="90"/>
    <cellStyle name="Style 31" xfId="91"/>
    <cellStyle name="Style 32" xfId="92"/>
    <cellStyle name="Style 33" xfId="93"/>
    <cellStyle name="Style 34" xfId="94"/>
    <cellStyle name="Style 35" xfId="95"/>
    <cellStyle name="Style 36" xfId="96"/>
    <cellStyle name="Style 37" xfId="97"/>
    <cellStyle name="Style 38" xfId="98"/>
    <cellStyle name="Style 82" xfId="99"/>
    <cellStyle name="Title" xfId="100"/>
    <cellStyle name="Total" xfId="101"/>
    <cellStyle name="Warning Text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2000_07_Cabrillo%201\Final%20Adjusted\ENCI072000AF-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GOS\RMR\2001_04_Duke\Initial%20Estimated\SOUT042001EP-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p\corpdata\Users\WSaxe\Downloads\2016%20GRC%20Phase%202%20Distribution%20Revenue%20Allocation%20(Chapter%204%20Workpaper-Confidential)%20(14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evel1"/>
      <sheetName val="Level 1 Explaination"/>
      <sheetName val="Level2"/>
      <sheetName val="NonRMR Heat Input"/>
      <sheetName val="HR Coeff"/>
      <sheetName val="Hrly Emissions"/>
      <sheetName val="Emissions Input"/>
      <sheetName val="Daily Fuel Price"/>
      <sheetName val="Interest Rate Calculation"/>
      <sheetName val="ConstantsTable"/>
      <sheetName val="Data Dictionary"/>
    </sheetNames>
    <sheetDataSet>
      <sheetData sheetId="2">
        <row r="2">
          <cell r="K2" t="str">
            <v>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evel1"/>
      <sheetName val="Level 1 Explaination"/>
      <sheetName val="Level2"/>
      <sheetName val="NonRMR Heat Input"/>
      <sheetName val="HR Coeff"/>
      <sheetName val="Hrly Emissions"/>
      <sheetName val="Emissions Input"/>
      <sheetName val="Daily Fuel Price"/>
      <sheetName val="Interest Rate Calculation"/>
      <sheetName val="ConstantsTable"/>
      <sheetName val="Data Dictionary"/>
    </sheetNames>
    <sheetDataSet>
      <sheetData sheetId="2">
        <row r="2">
          <cell r="K2" t="str">
            <v>E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ab Descriptions"/>
      <sheetName val="Distrib Class EPMC Rates &amp; Rev"/>
      <sheetName val="Distrib Revenue Allocation"/>
      <sheetName val="Distrib Allocation Factors"/>
      <sheetName val="Distrib Marginal Revenues"/>
      <sheetName val="Distrib Marginal Cost Summary"/>
      <sheetName val="Distrib System Determinants"/>
      <sheetName val="Current Distrib Rev Allocati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8"/>
  <sheetViews>
    <sheetView tabSelected="1" workbookViewId="0" topLeftCell="A1">
      <selection activeCell="C33" sqref="C33"/>
    </sheetView>
  </sheetViews>
  <sheetFormatPr defaultColWidth="9.140625" defaultRowHeight="12.75"/>
  <cols>
    <col min="1" max="1" width="7.28125" style="0" bestFit="1" customWidth="1"/>
    <col min="2" max="2" width="72.28125" style="0" customWidth="1"/>
    <col min="3" max="3" width="111.00390625" style="0" bestFit="1" customWidth="1"/>
    <col min="4" max="4" width="7.28125" style="0" customWidth="1"/>
    <col min="6" max="6" width="12.8515625" style="0" bestFit="1" customWidth="1"/>
    <col min="7" max="7" width="14.421875" style="0" customWidth="1"/>
    <col min="16" max="16" width="9.8515625" style="0" bestFit="1" customWidth="1"/>
  </cols>
  <sheetData>
    <row r="1" spans="1:4" ht="15.75">
      <c r="A1" s="327"/>
      <c r="B1" s="327"/>
      <c r="C1" s="327"/>
      <c r="D1" s="327"/>
    </row>
    <row r="2" spans="1:4" ht="15.75">
      <c r="A2" s="328"/>
      <c r="B2" s="328"/>
      <c r="C2" s="328"/>
      <c r="D2" s="328"/>
    </row>
    <row r="4" spans="1:8" ht="15.75">
      <c r="A4" s="326" t="s">
        <v>189</v>
      </c>
      <c r="B4" s="326"/>
      <c r="C4" s="326"/>
      <c r="D4" s="326"/>
      <c r="F4" s="2"/>
      <c r="G4" s="2"/>
      <c r="H4" s="2"/>
    </row>
    <row r="5" spans="1:8" ht="15.75">
      <c r="A5" s="326" t="s">
        <v>192</v>
      </c>
      <c r="B5" s="326"/>
      <c r="C5" s="326"/>
      <c r="D5" s="326"/>
      <c r="F5" s="2"/>
      <c r="G5" s="2"/>
      <c r="H5" s="2"/>
    </row>
    <row r="6" spans="1:8" ht="15.75">
      <c r="A6" s="326" t="s">
        <v>199</v>
      </c>
      <c r="B6" s="326"/>
      <c r="C6" s="326"/>
      <c r="D6" s="326"/>
      <c r="F6" s="2"/>
      <c r="G6" s="2"/>
      <c r="H6" s="2"/>
    </row>
    <row r="7" spans="1:8" ht="15.75">
      <c r="A7" s="1"/>
      <c r="B7" s="1"/>
      <c r="C7" s="1"/>
      <c r="F7" s="2"/>
      <c r="G7" s="2"/>
      <c r="H7" s="2"/>
    </row>
    <row r="8" spans="1:8" ht="15.75">
      <c r="A8" s="326" t="s">
        <v>106</v>
      </c>
      <c r="B8" s="326"/>
      <c r="C8" s="326"/>
      <c r="D8" s="326"/>
      <c r="F8" s="2"/>
      <c r="G8" s="2"/>
      <c r="H8" s="2"/>
    </row>
    <row r="9" spans="2:8" ht="15.75">
      <c r="B9" s="1"/>
      <c r="C9" s="105"/>
      <c r="D9" s="1"/>
      <c r="E9" s="1"/>
      <c r="F9" s="2"/>
      <c r="G9" s="2"/>
      <c r="H9" s="2"/>
    </row>
    <row r="10" spans="1:6" ht="15.75">
      <c r="A10" s="209" t="s">
        <v>10</v>
      </c>
      <c r="B10" s="3"/>
      <c r="C10" s="6"/>
      <c r="D10" s="209" t="s">
        <v>10</v>
      </c>
      <c r="E10" s="4"/>
      <c r="F10" s="4"/>
    </row>
    <row r="11" spans="1:6" ht="16.5" thickBot="1">
      <c r="A11" s="210" t="s">
        <v>13</v>
      </c>
      <c r="B11" s="9" t="s">
        <v>107</v>
      </c>
      <c r="C11" s="10" t="s">
        <v>108</v>
      </c>
      <c r="D11" s="210" t="s">
        <v>13</v>
      </c>
      <c r="E11" s="4"/>
      <c r="F11" s="4"/>
    </row>
    <row r="12" spans="1:6" ht="15.75">
      <c r="A12" s="209"/>
      <c r="B12" s="3"/>
      <c r="C12" s="11"/>
      <c r="D12" s="209"/>
      <c r="E12" s="4"/>
      <c r="F12" s="4"/>
    </row>
    <row r="13" spans="1:7" ht="15.75">
      <c r="A13" s="209">
        <v>1</v>
      </c>
      <c r="B13" s="28" t="s">
        <v>106</v>
      </c>
      <c r="C13" s="211" t="s">
        <v>109</v>
      </c>
      <c r="D13" s="209">
        <v>1</v>
      </c>
      <c r="E13" s="114"/>
      <c r="F13" s="212"/>
      <c r="G13" s="205"/>
    </row>
    <row r="14" spans="1:6" ht="15.75">
      <c r="A14" s="209">
        <f>A13+1</f>
        <v>2</v>
      </c>
      <c r="B14" s="28" t="s">
        <v>110</v>
      </c>
      <c r="C14" s="213" t="s">
        <v>187</v>
      </c>
      <c r="D14" s="209">
        <f>D13+1</f>
        <v>2</v>
      </c>
      <c r="E14" s="114"/>
      <c r="F14" s="4"/>
    </row>
    <row r="15" spans="1:7" ht="15.75">
      <c r="A15" s="209">
        <f aca="true" t="shared" si="0" ref="A15:A20">A14+1</f>
        <v>3</v>
      </c>
      <c r="B15" s="28" t="s">
        <v>111</v>
      </c>
      <c r="C15" s="213" t="s">
        <v>112</v>
      </c>
      <c r="D15" s="209">
        <f aca="true" t="shared" si="1" ref="D15:D20">D14+1</f>
        <v>3</v>
      </c>
      <c r="E15" s="114"/>
      <c r="F15" s="212"/>
      <c r="G15" s="205"/>
    </row>
    <row r="16" spans="1:6" ht="15.75">
      <c r="A16" s="209">
        <f t="shared" si="0"/>
        <v>4</v>
      </c>
      <c r="B16" s="28" t="s">
        <v>113</v>
      </c>
      <c r="C16" s="213" t="s">
        <v>62</v>
      </c>
      <c r="D16" s="209">
        <f t="shared" si="1"/>
        <v>4</v>
      </c>
      <c r="E16" s="114"/>
      <c r="F16" s="4"/>
    </row>
    <row r="17" spans="1:7" ht="15.75">
      <c r="A17" s="209">
        <f t="shared" si="0"/>
        <v>5</v>
      </c>
      <c r="B17" s="70" t="s">
        <v>114</v>
      </c>
      <c r="C17" s="213" t="s">
        <v>115</v>
      </c>
      <c r="D17" s="209">
        <f t="shared" si="1"/>
        <v>5</v>
      </c>
      <c r="E17" s="114"/>
      <c r="F17" s="212"/>
      <c r="G17" s="205"/>
    </row>
    <row r="18" spans="1:6" ht="15.75">
      <c r="A18" s="209">
        <f t="shared" si="0"/>
        <v>6</v>
      </c>
      <c r="B18" s="28" t="s">
        <v>116</v>
      </c>
      <c r="C18" s="213" t="s">
        <v>95</v>
      </c>
      <c r="D18" s="209">
        <f t="shared" si="1"/>
        <v>6</v>
      </c>
      <c r="E18" s="114"/>
      <c r="F18" s="4"/>
    </row>
    <row r="19" spans="1:7" ht="15.75">
      <c r="A19" s="209">
        <f t="shared" si="0"/>
        <v>7</v>
      </c>
      <c r="B19" s="28" t="s">
        <v>117</v>
      </c>
      <c r="C19" s="214" t="s">
        <v>144</v>
      </c>
      <c r="D19" s="209">
        <f t="shared" si="1"/>
        <v>7</v>
      </c>
      <c r="E19" s="114"/>
      <c r="F19" s="212"/>
      <c r="G19" s="205"/>
    </row>
    <row r="20" spans="1:6" ht="15.75">
      <c r="A20" s="209">
        <f t="shared" si="0"/>
        <v>8</v>
      </c>
      <c r="B20" s="28" t="s">
        <v>162</v>
      </c>
      <c r="C20" s="213" t="s">
        <v>60</v>
      </c>
      <c r="D20" s="209">
        <f t="shared" si="1"/>
        <v>8</v>
      </c>
      <c r="E20" s="114"/>
      <c r="F20" s="4"/>
    </row>
    <row r="21" ht="12.75">
      <c r="B21" s="129"/>
    </row>
    <row r="34" ht="12.75">
      <c r="B34" s="27"/>
    </row>
    <row r="68" ht="12.75">
      <c r="B68" s="122"/>
    </row>
  </sheetData>
  <sheetProtection/>
  <mergeCells count="6">
    <mergeCell ref="A4:D4"/>
    <mergeCell ref="A5:D5"/>
    <mergeCell ref="A6:D6"/>
    <mergeCell ref="A8:D8"/>
    <mergeCell ref="A1:D1"/>
    <mergeCell ref="A2:D2"/>
  </mergeCells>
  <printOptions horizontalCentered="1"/>
  <pageMargins left="0.4" right="0.4" top="1" bottom="0.75" header="0.5" footer="0.5"/>
  <pageSetup horizontalDpi="600" verticalDpi="600" orientation="portrait" scale="50" r:id="rId1"/>
  <headerFooter alignWithMargins="0">
    <oddFooter>&amp;L&amp;F
&amp;A&amp;R&amp;P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W172"/>
  <sheetViews>
    <sheetView zoomScale="90" zoomScaleNormal="90" workbookViewId="0" topLeftCell="A1">
      <selection activeCell="E139" sqref="E139"/>
    </sheetView>
  </sheetViews>
  <sheetFormatPr defaultColWidth="9.140625" defaultRowHeight="12.75"/>
  <cols>
    <col min="1" max="1" width="6.00390625" style="0" bestFit="1" customWidth="1"/>
    <col min="2" max="2" width="80.28125" style="0" customWidth="1"/>
    <col min="3" max="6" width="20.57421875" style="0" customWidth="1"/>
    <col min="7" max="7" width="6.00390625" style="0" bestFit="1" customWidth="1"/>
    <col min="8" max="8" width="18.8515625" style="0" bestFit="1" customWidth="1"/>
    <col min="11" max="11" width="85.8515625" style="0" bestFit="1" customWidth="1"/>
    <col min="12" max="12" width="12.57421875" style="0" customWidth="1"/>
  </cols>
  <sheetData>
    <row r="1" spans="1:7" ht="15.75">
      <c r="A1" s="327"/>
      <c r="B1" s="327"/>
      <c r="C1" s="327"/>
      <c r="D1" s="327"/>
      <c r="E1" s="327"/>
      <c r="F1" s="327"/>
      <c r="G1" s="327"/>
    </row>
    <row r="2" spans="1:7" ht="15.75">
      <c r="A2" s="328"/>
      <c r="B2" s="328"/>
      <c r="C2" s="328"/>
      <c r="D2" s="328"/>
      <c r="E2" s="328"/>
      <c r="F2" s="328"/>
      <c r="G2" s="328"/>
    </row>
    <row r="4" spans="1:10" ht="15.75">
      <c r="A4" s="326" t="str">
        <f>'Tab Descriptions'!A4:D4</f>
        <v>SAN DIEGO GAS &amp; ELECTRIC COMPANY ("SDG&amp;E")</v>
      </c>
      <c r="B4" s="326"/>
      <c r="C4" s="326"/>
      <c r="D4" s="326"/>
      <c r="E4" s="326"/>
      <c r="F4" s="326"/>
      <c r="G4" s="326"/>
      <c r="H4" s="2"/>
      <c r="I4" s="2"/>
      <c r="J4" s="2"/>
    </row>
    <row r="5" spans="1:10" ht="15.75">
      <c r="A5" s="326" t="str">
        <f>'Tab Descriptions'!A5:D5</f>
        <v>TEST YEAR ("TY") 2019 GENERAL RATE CASE ("GRC") PHASE 2, APPLICATION ("A.") 19-03-002</v>
      </c>
      <c r="B5" s="326"/>
      <c r="C5" s="326"/>
      <c r="D5" s="326"/>
      <c r="E5" s="326"/>
      <c r="F5" s="326"/>
      <c r="G5" s="326"/>
      <c r="H5" s="2"/>
      <c r="I5" s="2"/>
      <c r="J5" s="2"/>
    </row>
    <row r="6" spans="1:10" ht="15.75">
      <c r="A6" s="326" t="str">
        <f>'Tab Descriptions'!A6:D6</f>
        <v>DISTRIBUTION REVENUE ALLOCATION WORKPAPERS - CHAPTER 5 (SAXE) - REVISED</v>
      </c>
      <c r="B6" s="326"/>
      <c r="C6" s="326"/>
      <c r="D6" s="326"/>
      <c r="E6" s="326"/>
      <c r="F6" s="326"/>
      <c r="G6" s="326"/>
      <c r="H6" s="2"/>
      <c r="I6" s="2"/>
      <c r="J6" s="2"/>
    </row>
    <row r="7" spans="1:10" ht="15.75">
      <c r="A7" s="1"/>
      <c r="B7" s="1"/>
      <c r="C7" s="1"/>
      <c r="D7" s="1"/>
      <c r="E7" s="1"/>
      <c r="F7" s="1"/>
      <c r="H7" s="2"/>
      <c r="I7" s="2"/>
      <c r="J7" s="2"/>
    </row>
    <row r="8" spans="1:10" ht="15.75">
      <c r="A8" s="326" t="s">
        <v>188</v>
      </c>
      <c r="B8" s="326"/>
      <c r="C8" s="326"/>
      <c r="D8" s="326"/>
      <c r="E8" s="326"/>
      <c r="F8" s="326"/>
      <c r="G8" s="326"/>
      <c r="H8" s="2"/>
      <c r="I8" s="2"/>
      <c r="J8" s="2"/>
    </row>
    <row r="9" spans="2:10" ht="15.75">
      <c r="B9" s="1"/>
      <c r="C9" s="1"/>
      <c r="D9" s="1"/>
      <c r="E9" s="1"/>
      <c r="F9" s="1"/>
      <c r="G9" s="1"/>
      <c r="H9" s="2"/>
      <c r="I9" s="2"/>
      <c r="J9" s="2"/>
    </row>
    <row r="10" spans="2:10" ht="15.75">
      <c r="B10" s="1"/>
      <c r="C10" s="1"/>
      <c r="D10" s="1"/>
      <c r="E10" s="1"/>
      <c r="F10" s="3" t="s">
        <v>3</v>
      </c>
      <c r="G10" s="1"/>
      <c r="H10" s="2"/>
      <c r="I10" s="2"/>
      <c r="J10" s="2"/>
    </row>
    <row r="11" spans="2:8" ht="15.75">
      <c r="B11" s="3"/>
      <c r="C11" s="3"/>
      <c r="D11" s="3"/>
      <c r="E11" s="3"/>
      <c r="F11" s="3" t="s">
        <v>0</v>
      </c>
      <c r="G11" s="4"/>
      <c r="H11" s="4"/>
    </row>
    <row r="12" spans="2:8" ht="15.75">
      <c r="B12" s="3"/>
      <c r="C12" s="3"/>
      <c r="D12" s="3" t="s">
        <v>1</v>
      </c>
      <c r="E12" s="3" t="s">
        <v>3</v>
      </c>
      <c r="F12" s="3" t="s">
        <v>5</v>
      </c>
      <c r="G12" s="4"/>
      <c r="H12" s="4"/>
    </row>
    <row r="13" spans="3:8" ht="15.75">
      <c r="C13" s="116"/>
      <c r="D13" s="3" t="s">
        <v>0</v>
      </c>
      <c r="E13" s="3" t="s">
        <v>0</v>
      </c>
      <c r="F13" s="3" t="s">
        <v>8</v>
      </c>
      <c r="G13" s="3"/>
      <c r="H13" s="4"/>
    </row>
    <row r="14" spans="1:8" ht="15.75">
      <c r="A14" s="5" t="s">
        <v>10</v>
      </c>
      <c r="B14" s="3" t="s">
        <v>14</v>
      </c>
      <c r="C14" s="6" t="s">
        <v>30</v>
      </c>
      <c r="D14" s="3" t="s">
        <v>32</v>
      </c>
      <c r="E14" s="3" t="s">
        <v>32</v>
      </c>
      <c r="F14" s="7" t="s">
        <v>12</v>
      </c>
      <c r="G14" s="5" t="s">
        <v>10</v>
      </c>
      <c r="H14" s="4"/>
    </row>
    <row r="15" spans="1:8" ht="16.5" thickBot="1">
      <c r="A15" s="8" t="s">
        <v>13</v>
      </c>
      <c r="B15" s="9" t="s">
        <v>15</v>
      </c>
      <c r="C15" s="10" t="s">
        <v>16</v>
      </c>
      <c r="D15" s="10" t="s">
        <v>17</v>
      </c>
      <c r="E15" s="10" t="s">
        <v>18</v>
      </c>
      <c r="F15" s="10" t="s">
        <v>19</v>
      </c>
      <c r="G15" s="8" t="s">
        <v>13</v>
      </c>
      <c r="H15" s="186" t="s">
        <v>86</v>
      </c>
    </row>
    <row r="16" spans="1:12" ht="15.75">
      <c r="A16" s="5"/>
      <c r="B16" s="3"/>
      <c r="C16" s="11"/>
      <c r="D16" s="11"/>
      <c r="E16" s="11"/>
      <c r="F16" s="11"/>
      <c r="G16" s="5"/>
      <c r="H16" s="4"/>
      <c r="K16" s="247" t="s">
        <v>132</v>
      </c>
      <c r="L16" s="248"/>
    </row>
    <row r="17" spans="1:12" ht="15.75">
      <c r="A17" s="5">
        <v>1</v>
      </c>
      <c r="B17" s="28" t="s">
        <v>31</v>
      </c>
      <c r="C17" s="51"/>
      <c r="D17" s="51"/>
      <c r="E17" s="14"/>
      <c r="F17" s="17"/>
      <c r="G17" s="5">
        <v>1</v>
      </c>
      <c r="H17" s="4"/>
      <c r="K17" s="249"/>
      <c r="L17" s="250"/>
    </row>
    <row r="18" spans="1:12" ht="15.75">
      <c r="A18" s="5">
        <f>A17+1</f>
        <v>2</v>
      </c>
      <c r="B18" s="59" t="s">
        <v>56</v>
      </c>
      <c r="C18" s="14">
        <f>'Distrib System Determinants'!C14*12</f>
        <v>15813958</v>
      </c>
      <c r="D18" s="86">
        <f>'Distrib Marginal Revenues'!F16/'Distrib Class EPMC Rates &amp; Rev'!C18*1000</f>
        <v>11.168141333570619</v>
      </c>
      <c r="E18" s="86">
        <f>D18*$C$160</f>
        <v>24.60803913508714</v>
      </c>
      <c r="F18" s="91">
        <f>E18*C18/1000</f>
        <v>389150.49734462437</v>
      </c>
      <c r="G18" s="5">
        <f>G17+1</f>
        <v>2</v>
      </c>
      <c r="H18" s="4"/>
      <c r="K18" s="251" t="s">
        <v>163</v>
      </c>
      <c r="L18" s="252"/>
    </row>
    <row r="19" spans="1:12" ht="15.75">
      <c r="A19" s="5">
        <f aca="true" t="shared" si="0" ref="A19:A82">A18+1</f>
        <v>3</v>
      </c>
      <c r="B19" s="59" t="s">
        <v>148</v>
      </c>
      <c r="C19" s="14">
        <f>'Distrib System Determinants'!F49</f>
        <v>18669260.21571587</v>
      </c>
      <c r="D19" s="262">
        <f>('Distrib Marginal Revenues'!F49*$L$32+'Distrib Marginal Revenues'!F60*$L$33)/C19*1000</f>
        <v>0.5399995081572085</v>
      </c>
      <c r="E19" s="86">
        <f>D19*$C$160</f>
        <v>1.1898424843278663</v>
      </c>
      <c r="F19" s="91">
        <f>E19*C19/1000</f>
        <v>22213.47895563077</v>
      </c>
      <c r="G19" s="5">
        <f aca="true" t="shared" si="1" ref="G19:G82">G18+1</f>
        <v>3</v>
      </c>
      <c r="H19" s="4"/>
      <c r="K19" s="253" t="s">
        <v>129</v>
      </c>
      <c r="L19" s="254">
        <v>10059.268047383826</v>
      </c>
    </row>
    <row r="20" spans="1:12" ht="15.75">
      <c r="A20" s="5">
        <f t="shared" si="0"/>
        <v>4</v>
      </c>
      <c r="B20" s="59" t="s">
        <v>128</v>
      </c>
      <c r="C20" s="218">
        <f>'Distrib System Determinants'!C59</f>
        <v>45984509.679757245</v>
      </c>
      <c r="D20" s="87">
        <f>('Distrib Marginal Revenues'!F49*(1-$L$32)+'Distrib Marginal Revenues'!F60*(1-$L$33))/C20*1000</f>
        <v>3.8389453355053407</v>
      </c>
      <c r="E20" s="88">
        <f>D20*$C$160</f>
        <v>8.45878595479527</v>
      </c>
      <c r="F20" s="92">
        <f>E20*C20/1000</f>
        <v>388973.1246172777</v>
      </c>
      <c r="G20" s="5">
        <f t="shared" si="1"/>
        <v>4</v>
      </c>
      <c r="H20" s="76"/>
      <c r="K20" s="253" t="s">
        <v>130</v>
      </c>
      <c r="L20" s="255">
        <v>15424.852960048362</v>
      </c>
    </row>
    <row r="21" spans="1:12" ht="15.75">
      <c r="A21" s="5">
        <f t="shared" si="0"/>
        <v>5</v>
      </c>
      <c r="B21" s="59" t="s">
        <v>88</v>
      </c>
      <c r="C21" s="14"/>
      <c r="D21" s="14"/>
      <c r="E21" s="18"/>
      <c r="F21" s="91">
        <f>SUM(F18:F20)</f>
        <v>800337.1009175328</v>
      </c>
      <c r="G21" s="5">
        <f t="shared" si="1"/>
        <v>5</v>
      </c>
      <c r="H21" s="187">
        <f>SUM(F18:F20)-F21</f>
        <v>0</v>
      </c>
      <c r="K21" s="256" t="s">
        <v>2</v>
      </c>
      <c r="L21" s="254">
        <f>L19+L20</f>
        <v>25484.121007432186</v>
      </c>
    </row>
    <row r="22" spans="1:12" ht="15.75">
      <c r="A22" s="5">
        <f t="shared" si="0"/>
        <v>6</v>
      </c>
      <c r="B22" s="28"/>
      <c r="C22" s="18"/>
      <c r="D22" s="18"/>
      <c r="E22" s="14"/>
      <c r="F22" s="93"/>
      <c r="G22" s="5">
        <f t="shared" si="1"/>
        <v>6</v>
      </c>
      <c r="H22" s="188"/>
      <c r="K22" s="249"/>
      <c r="L22" s="250"/>
    </row>
    <row r="23" spans="1:12" ht="15.75">
      <c r="A23" s="5">
        <f t="shared" si="0"/>
        <v>7</v>
      </c>
      <c r="B23" s="28" t="s">
        <v>38</v>
      </c>
      <c r="C23" s="16"/>
      <c r="D23" s="16"/>
      <c r="E23" s="14"/>
      <c r="F23" s="93"/>
      <c r="G23" s="5">
        <f t="shared" si="1"/>
        <v>7</v>
      </c>
      <c r="H23" s="188"/>
      <c r="K23" s="257" t="s">
        <v>131</v>
      </c>
      <c r="L23" s="250"/>
    </row>
    <row r="24" spans="1:12" ht="15.75">
      <c r="A24" s="5">
        <f t="shared" si="0"/>
        <v>8</v>
      </c>
      <c r="B24" s="59" t="s">
        <v>56</v>
      </c>
      <c r="C24" s="14"/>
      <c r="D24" s="86"/>
      <c r="E24" s="86"/>
      <c r="F24" s="91"/>
      <c r="G24" s="5">
        <f t="shared" si="1"/>
        <v>8</v>
      </c>
      <c r="H24" s="188"/>
      <c r="K24" s="253" t="s">
        <v>129</v>
      </c>
      <c r="L24" s="258">
        <v>0.6630922242531873</v>
      </c>
    </row>
    <row r="25" spans="1:12" ht="15.75">
      <c r="A25" s="5">
        <f t="shared" si="0"/>
        <v>9</v>
      </c>
      <c r="B25" s="59" t="s">
        <v>24</v>
      </c>
      <c r="C25" s="14"/>
      <c r="D25" s="86"/>
      <c r="E25" s="86"/>
      <c r="F25" s="91"/>
      <c r="G25" s="5">
        <f t="shared" si="1"/>
        <v>9</v>
      </c>
      <c r="H25" s="188"/>
      <c r="K25" s="253" t="s">
        <v>130</v>
      </c>
      <c r="L25" s="259">
        <v>0.7211698928943484</v>
      </c>
    </row>
    <row r="26" spans="1:12" ht="15.75">
      <c r="A26" s="5">
        <f t="shared" si="0"/>
        <v>10</v>
      </c>
      <c r="B26" s="59" t="s">
        <v>78</v>
      </c>
      <c r="C26" s="14">
        <f>'Distrib System Determinants'!C16*12</f>
        <v>705738.1150177735</v>
      </c>
      <c r="D26" s="86">
        <f>'Distrib Marginal Revenues'!C18/'Distrib Class EPMC Rates &amp; Rev'!C26*1000</f>
        <v>15.129233041101864</v>
      </c>
      <c r="E26" s="86">
        <f>D26*$C$160</f>
        <v>33.335964117876905</v>
      </c>
      <c r="F26" s="91">
        <f>E26*C26/1000</f>
        <v>23526.460478850582</v>
      </c>
      <c r="G26" s="5">
        <f t="shared" si="1"/>
        <v>10</v>
      </c>
      <c r="H26" s="188"/>
      <c r="K26" s="253"/>
      <c r="L26" s="260"/>
    </row>
    <row r="27" spans="1:12" ht="15.75">
      <c r="A27" s="5">
        <f t="shared" si="0"/>
        <v>11</v>
      </c>
      <c r="B27" s="59" t="s">
        <v>75</v>
      </c>
      <c r="C27" s="14">
        <f>'Distrib System Determinants'!C17*12</f>
        <v>750661.0464015972</v>
      </c>
      <c r="D27" s="86">
        <f>'Distrib Marginal Revenues'!C19/'Distrib Class EPMC Rates &amp; Rev'!C27*1000</f>
        <v>30.381846952687578</v>
      </c>
      <c r="E27" s="86">
        <f>D27*$C$160</f>
        <v>66.94378737495195</v>
      </c>
      <c r="F27" s="91">
        <f>E27*C27/1000</f>
        <v>50252.093480967465</v>
      </c>
      <c r="G27" s="5">
        <f t="shared" si="1"/>
        <v>11</v>
      </c>
      <c r="H27" s="188"/>
      <c r="K27" s="251" t="s">
        <v>133</v>
      </c>
      <c r="L27" s="252"/>
    </row>
    <row r="28" spans="1:12" ht="15.75">
      <c r="A28" s="5">
        <f t="shared" si="0"/>
        <v>12</v>
      </c>
      <c r="B28" s="59" t="s">
        <v>79</v>
      </c>
      <c r="C28" s="14">
        <f>'Distrib System Determinants'!C18*12</f>
        <v>133160.863471215</v>
      </c>
      <c r="D28" s="86">
        <f>'Distrib Marginal Revenues'!C20/'Distrib Class EPMC Rates &amp; Rev'!C28*1000</f>
        <v>74.0345392448005</v>
      </c>
      <c r="E28" s="86">
        <f>D28*$C$160</f>
        <v>163.12874136073677</v>
      </c>
      <c r="F28" s="91">
        <f>E28*C28/1000</f>
        <v>21722.364056568214</v>
      </c>
      <c r="G28" s="5">
        <f t="shared" si="1"/>
        <v>12</v>
      </c>
      <c r="H28" s="188"/>
      <c r="K28" s="253" t="s">
        <v>129</v>
      </c>
      <c r="L28" s="263">
        <v>0.02212620932576247</v>
      </c>
    </row>
    <row r="29" spans="1:12" ht="15.75">
      <c r="A29" s="5">
        <f t="shared" si="0"/>
        <v>13</v>
      </c>
      <c r="B29" s="59" t="s">
        <v>76</v>
      </c>
      <c r="C29" s="78">
        <f>'Distrib System Determinants'!C19*12</f>
        <v>9751.92079432232</v>
      </c>
      <c r="D29" s="88">
        <f>'Distrib Marginal Revenues'!C21/'Distrib Class EPMC Rates &amp; Rev'!C29*1000</f>
        <v>111.65187568385967</v>
      </c>
      <c r="E29" s="88">
        <f>D29*$C$160</f>
        <v>246.0153076748247</v>
      </c>
      <c r="F29" s="92">
        <f>E29*C29/1000</f>
        <v>2399.121794635726</v>
      </c>
      <c r="G29" s="5">
        <f t="shared" si="1"/>
        <v>13</v>
      </c>
      <c r="H29" s="188"/>
      <c r="K29" s="253" t="s">
        <v>130</v>
      </c>
      <c r="L29" s="263">
        <v>0.22435932199515685</v>
      </c>
    </row>
    <row r="30" spans="1:12" ht="15.75">
      <c r="A30" s="5">
        <f t="shared" si="0"/>
        <v>14</v>
      </c>
      <c r="B30" s="59" t="s">
        <v>84</v>
      </c>
      <c r="C30" s="14">
        <f>SUM(C26:C29)</f>
        <v>1599311.9456849082</v>
      </c>
      <c r="D30" s="86">
        <f>'Distrib Marginal Revenues'!C22/'Distrib Class EPMC Rates &amp; Rev'!C30*1000</f>
        <v>27.78136496374352</v>
      </c>
      <c r="E30" s="86">
        <f>D30*$C$160</f>
        <v>61.213848914944556</v>
      </c>
      <c r="F30" s="91">
        <f>E30*C30/1000</f>
        <v>97900.03981102198</v>
      </c>
      <c r="G30" s="5">
        <f t="shared" si="1"/>
        <v>14</v>
      </c>
      <c r="H30" s="187">
        <f>SUM(F26:F29)-F30</f>
        <v>0</v>
      </c>
      <c r="K30" s="261"/>
      <c r="L30" s="250"/>
    </row>
    <row r="31" spans="1:12" ht="15.75">
      <c r="A31" s="5">
        <f t="shared" si="0"/>
        <v>15</v>
      </c>
      <c r="B31" s="59"/>
      <c r="C31" s="14"/>
      <c r="D31" s="86"/>
      <c r="E31" s="86"/>
      <c r="F31" s="91"/>
      <c r="G31" s="5">
        <f t="shared" si="1"/>
        <v>15</v>
      </c>
      <c r="H31" s="188"/>
      <c r="K31" s="251" t="s">
        <v>147</v>
      </c>
      <c r="L31" s="252"/>
    </row>
    <row r="32" spans="1:12" ht="15.75">
      <c r="A32" s="5">
        <f t="shared" si="0"/>
        <v>16</v>
      </c>
      <c r="B32" s="59" t="s">
        <v>25</v>
      </c>
      <c r="C32" s="14"/>
      <c r="D32" s="86"/>
      <c r="E32" s="86"/>
      <c r="F32" s="91"/>
      <c r="G32" s="5">
        <f t="shared" si="1"/>
        <v>16</v>
      </c>
      <c r="H32" s="188"/>
      <c r="K32" s="253" t="s">
        <v>129</v>
      </c>
      <c r="L32" s="252">
        <f>L28*L24</f>
        <v>0.01467171735611145</v>
      </c>
    </row>
    <row r="33" spans="1:12" ht="16.5" thickBot="1">
      <c r="A33" s="5">
        <f t="shared" si="0"/>
        <v>17</v>
      </c>
      <c r="B33" s="59" t="s">
        <v>78</v>
      </c>
      <c r="C33" s="14">
        <f>'Distrib System Determinants'!D16*12</f>
        <v>986.9663503606982</v>
      </c>
      <c r="D33" s="86">
        <f>'Distrib Marginal Revenues'!D18/'Distrib Class EPMC Rates &amp; Rev'!C33*1000</f>
        <v>37.9670248783173</v>
      </c>
      <c r="E33" s="86">
        <f>D33*$C$160</f>
        <v>83.65707472200762</v>
      </c>
      <c r="F33" s="91">
        <f>E33*C33/1000</f>
        <v>82.56671772023209</v>
      </c>
      <c r="G33" s="5">
        <f t="shared" si="1"/>
        <v>17</v>
      </c>
      <c r="H33" s="188"/>
      <c r="K33" s="264" t="s">
        <v>130</v>
      </c>
      <c r="L33" s="265">
        <f>L29*L25</f>
        <v>0.1618011882130959</v>
      </c>
    </row>
    <row r="34" spans="1:8" ht="15.75">
      <c r="A34" s="5">
        <f t="shared" si="0"/>
        <v>18</v>
      </c>
      <c r="B34" s="59" t="s">
        <v>75</v>
      </c>
      <c r="C34" s="14">
        <f>'Distrib System Determinants'!D17*12</f>
        <v>206.3541882847006</v>
      </c>
      <c r="D34" s="86">
        <f>'Distrib Marginal Revenues'!D19/'Distrib Class EPMC Rates &amp; Rev'!C34*1000</f>
        <v>37.9670248783173</v>
      </c>
      <c r="E34" s="86">
        <f>D34*$C$160</f>
        <v>83.65707472200762</v>
      </c>
      <c r="F34" s="91">
        <f>E34*C34/1000</f>
        <v>17.262987748532428</v>
      </c>
      <c r="G34" s="5">
        <f t="shared" si="1"/>
        <v>18</v>
      </c>
      <c r="H34" s="188"/>
    </row>
    <row r="35" spans="1:8" ht="15.75">
      <c r="A35" s="5">
        <f t="shared" si="0"/>
        <v>19</v>
      </c>
      <c r="B35" s="59" t="s">
        <v>79</v>
      </c>
      <c r="C35" s="14">
        <f>'Distrib System Determinants'!D18*12</f>
        <v>21.23776831844139</v>
      </c>
      <c r="D35" s="86">
        <f>'Distrib Marginal Revenues'!D20/'Distrib Class EPMC Rates &amp; Rev'!C35*1000</f>
        <v>37.9670248783173</v>
      </c>
      <c r="E35" s="86">
        <f>D35*$C$160</f>
        <v>83.65707472200762</v>
      </c>
      <c r="F35" s="91">
        <f>E35*C35/1000</f>
        <v>1.7766895711445374</v>
      </c>
      <c r="G35" s="5">
        <f t="shared" si="1"/>
        <v>19</v>
      </c>
      <c r="H35" s="188"/>
    </row>
    <row r="36" spans="1:8" ht="15.75">
      <c r="A36" s="5">
        <f t="shared" si="0"/>
        <v>20</v>
      </c>
      <c r="B36" s="59" t="s">
        <v>76</v>
      </c>
      <c r="C36" s="78">
        <f>'Distrib System Determinants'!D19*12</f>
        <v>43.49600812819771</v>
      </c>
      <c r="D36" s="88">
        <f>'Distrib Marginal Revenues'!D21/'Distrib Class EPMC Rates &amp; Rev'!C36*1000</f>
        <v>48.99204425050206</v>
      </c>
      <c r="E36" s="88">
        <f>D36*$C$160</f>
        <v>107.94975692153317</v>
      </c>
      <c r="F36" s="92">
        <f>E36*C36/1000</f>
        <v>4.6953835044959735</v>
      </c>
      <c r="G36" s="5">
        <f t="shared" si="1"/>
        <v>20</v>
      </c>
      <c r="H36" s="188"/>
    </row>
    <row r="37" spans="1:8" ht="15.75">
      <c r="A37" s="5">
        <f t="shared" si="0"/>
        <v>21</v>
      </c>
      <c r="B37" s="59" t="s">
        <v>85</v>
      </c>
      <c r="C37" s="14">
        <f>SUM(C33:C36)</f>
        <v>1258.0543150920378</v>
      </c>
      <c r="D37" s="86">
        <f>'Distrib Marginal Revenues'!D22/'Distrib Class EPMC Rates &amp; Rev'!C37*1000</f>
        <v>38.34820423319357</v>
      </c>
      <c r="E37" s="86">
        <f>D37*$C$160</f>
        <v>84.49697065474325</v>
      </c>
      <c r="F37" s="91">
        <f>E37*C37/1000</f>
        <v>106.30177854440504</v>
      </c>
      <c r="G37" s="5">
        <f t="shared" si="1"/>
        <v>21</v>
      </c>
      <c r="H37" s="187">
        <f>SUM(F33:F36)-F37</f>
        <v>0</v>
      </c>
    </row>
    <row r="38" spans="1:8" ht="15.75">
      <c r="A38" s="5">
        <f t="shared" si="0"/>
        <v>22</v>
      </c>
      <c r="B38" s="28"/>
      <c r="C38" s="18"/>
      <c r="D38" s="18"/>
      <c r="E38" s="14"/>
      <c r="F38" s="93"/>
      <c r="G38" s="5">
        <f t="shared" si="1"/>
        <v>22</v>
      </c>
      <c r="H38" s="188"/>
    </row>
    <row r="39" spans="1:8" ht="15.75">
      <c r="A39" s="5">
        <f t="shared" si="0"/>
        <v>23</v>
      </c>
      <c r="B39" s="59" t="s">
        <v>148</v>
      </c>
      <c r="C39" s="18"/>
      <c r="D39" s="18"/>
      <c r="E39" s="14"/>
      <c r="F39" s="93"/>
      <c r="G39" s="5">
        <f t="shared" si="1"/>
        <v>23</v>
      </c>
      <c r="H39" s="188"/>
    </row>
    <row r="40" spans="1:8" ht="15.75">
      <c r="A40" s="5">
        <f t="shared" si="0"/>
        <v>24</v>
      </c>
      <c r="B40" s="59" t="s">
        <v>24</v>
      </c>
      <c r="C40" s="14">
        <f>'Distrib System Determinants'!C50</f>
        <v>3807029.1756437747</v>
      </c>
      <c r="D40" s="86">
        <f>D42*D45/D47</f>
        <v>0.8066366891828071</v>
      </c>
      <c r="E40" s="86">
        <f>D40*$C$160</f>
        <v>1.777354585900587</v>
      </c>
      <c r="F40" s="91">
        <f>E40*C40/1000</f>
        <v>6766.4407639877945</v>
      </c>
      <c r="G40" s="5">
        <f t="shared" si="1"/>
        <v>24</v>
      </c>
      <c r="H40" s="188"/>
    </row>
    <row r="41" spans="1:8" ht="15.75">
      <c r="A41" s="5">
        <f t="shared" si="0"/>
        <v>25</v>
      </c>
      <c r="B41" s="59" t="s">
        <v>25</v>
      </c>
      <c r="C41" s="78">
        <f>'Distrib System Determinants'!D50</f>
        <v>26930.28077021133</v>
      </c>
      <c r="D41" s="88">
        <f>D42*D46/D47</f>
        <v>0.8024817998792113</v>
      </c>
      <c r="E41" s="88">
        <f>D41*$C$160</f>
        <v>1.7681996445785693</v>
      </c>
      <c r="F41" s="92">
        <f>E41*C41/1000</f>
        <v>47.618112886288756</v>
      </c>
      <c r="G41" s="5">
        <f t="shared" si="1"/>
        <v>25</v>
      </c>
      <c r="H41" s="188"/>
    </row>
    <row r="42" spans="1:8" ht="15.75">
      <c r="A42" s="5">
        <f t="shared" si="0"/>
        <v>26</v>
      </c>
      <c r="B42" s="59" t="s">
        <v>2</v>
      </c>
      <c r="C42" s="14">
        <f>C40+C41</f>
        <v>3833959.456413986</v>
      </c>
      <c r="D42" s="86">
        <f>('Distrib Marginal Revenues'!F50*L32+'Distrib Marginal Revenues'!F61*L33)/'Distrib Class EPMC Rates &amp; Rev'!C42*1000</f>
        <v>0.8065958752100401</v>
      </c>
      <c r="E42" s="86">
        <f>D42*$C$160</f>
        <v>1.7772646558209872</v>
      </c>
      <c r="F42" s="91">
        <f>E42*C42/1000</f>
        <v>6813.9606337352225</v>
      </c>
      <c r="G42" s="5">
        <f t="shared" si="1"/>
        <v>26</v>
      </c>
      <c r="H42" s="188"/>
    </row>
    <row r="43" spans="1:8" ht="15.75">
      <c r="A43" s="5">
        <f t="shared" si="0"/>
        <v>27</v>
      </c>
      <c r="B43" s="28"/>
      <c r="C43" s="18"/>
      <c r="D43" s="18"/>
      <c r="E43" s="14"/>
      <c r="F43" s="93"/>
      <c r="G43" s="5">
        <f t="shared" si="1"/>
        <v>27</v>
      </c>
      <c r="H43" s="188"/>
    </row>
    <row r="44" spans="1:8" ht="15.75">
      <c r="A44" s="5">
        <f t="shared" si="0"/>
        <v>28</v>
      </c>
      <c r="B44" s="59" t="s">
        <v>128</v>
      </c>
      <c r="C44" s="18"/>
      <c r="D44" s="18"/>
      <c r="E44" s="14"/>
      <c r="F44" s="93"/>
      <c r="G44" s="5">
        <f t="shared" si="1"/>
        <v>28</v>
      </c>
      <c r="H44" s="188"/>
    </row>
    <row r="45" spans="1:11" ht="15.75">
      <c r="A45" s="5">
        <f t="shared" si="0"/>
        <v>29</v>
      </c>
      <c r="B45" s="59" t="s">
        <v>24</v>
      </c>
      <c r="C45" s="29">
        <f>'Distrib System Determinants'!C60</f>
        <v>10289024.289784517</v>
      </c>
      <c r="D45" s="86">
        <f>('Distrib Marginal Revenues'!C50*(1-$L$32)+'Distrib Marginal Revenues'!C61*(1-$L$33))/C45*1000</f>
        <v>5.200168236245465</v>
      </c>
      <c r="E45" s="86">
        <f>D45*$C$160</f>
        <v>11.45812357172712</v>
      </c>
      <c r="F45" s="91">
        <f>E45*C45/1000</f>
        <v>117892.91174485286</v>
      </c>
      <c r="G45" s="5">
        <f t="shared" si="1"/>
        <v>29</v>
      </c>
      <c r="H45" s="188"/>
      <c r="K45" s="205"/>
    </row>
    <row r="46" spans="1:11" ht="15.75">
      <c r="A46" s="5">
        <f t="shared" si="0"/>
        <v>30</v>
      </c>
      <c r="B46" s="59" t="s">
        <v>25</v>
      </c>
      <c r="C46" s="218">
        <f>'Distrib System Determinants'!D60</f>
        <v>102072.98685481893</v>
      </c>
      <c r="D46" s="88">
        <f>('Distrib Marginal Revenues'!D50*(1-$L$32)+'Distrib Marginal Revenues'!D61*(1-$L$33))/C46*1000</f>
        <v>5.173382790367019</v>
      </c>
      <c r="E46" s="88">
        <f>D46*$C$160</f>
        <v>11.399104144882456</v>
      </c>
      <c r="F46" s="92">
        <f>E46*C46/1000</f>
        <v>1163.540607537299</v>
      </c>
      <c r="G46" s="5">
        <f t="shared" si="1"/>
        <v>30</v>
      </c>
      <c r="H46" s="188"/>
      <c r="K46" s="205"/>
    </row>
    <row r="47" spans="1:11" ht="15.75">
      <c r="A47" s="5">
        <f t="shared" si="0"/>
        <v>31</v>
      </c>
      <c r="B47" s="59" t="s">
        <v>2</v>
      </c>
      <c r="C47" s="29">
        <f>C45+C46</f>
        <v>10391097.276639337</v>
      </c>
      <c r="D47" s="86">
        <f>('Distrib Marginal Revenues'!F50*(1-$L$32)+'Distrib Marginal Revenues'!F61*(1-$L$33))/'Distrib Class EPMC Rates &amp; Rev'!C47*1000</f>
        <v>5.199905119618581</v>
      </c>
      <c r="E47" s="86">
        <f>D47*$C$160</f>
        <v>11.457543816863884</v>
      </c>
      <c r="F47" s="91">
        <f>E47*C47/1000</f>
        <v>119056.45235239019</v>
      </c>
      <c r="G47" s="5">
        <f t="shared" si="1"/>
        <v>31</v>
      </c>
      <c r="H47" s="187">
        <f>SUM(F45:F46)-F47</f>
        <v>0</v>
      </c>
      <c r="K47" s="205"/>
    </row>
    <row r="48" spans="1:8" ht="15.75">
      <c r="A48" s="5">
        <f t="shared" si="0"/>
        <v>32</v>
      </c>
      <c r="B48" s="59"/>
      <c r="C48" s="14"/>
      <c r="D48" s="18"/>
      <c r="E48" s="86"/>
      <c r="F48" s="91"/>
      <c r="G48" s="5">
        <f t="shared" si="1"/>
        <v>32</v>
      </c>
      <c r="H48" s="187"/>
    </row>
    <row r="49" spans="1:11" ht="15.75">
      <c r="A49" s="5">
        <f t="shared" si="0"/>
        <v>33</v>
      </c>
      <c r="B49" s="59" t="s">
        <v>87</v>
      </c>
      <c r="C49" s="14"/>
      <c r="D49" s="18"/>
      <c r="E49" s="86"/>
      <c r="F49" s="91">
        <f>F30+F37+F42+F47</f>
        <v>223876.7545756918</v>
      </c>
      <c r="G49" s="5">
        <f t="shared" si="1"/>
        <v>33</v>
      </c>
      <c r="H49" s="187"/>
      <c r="K49" s="206"/>
    </row>
    <row r="50" spans="1:8" ht="15.75">
      <c r="A50" s="5">
        <f t="shared" si="0"/>
        <v>34</v>
      </c>
      <c r="B50" s="28"/>
      <c r="C50" s="18"/>
      <c r="D50" s="18"/>
      <c r="E50" s="14"/>
      <c r="F50" s="93"/>
      <c r="G50" s="5">
        <f t="shared" si="1"/>
        <v>34</v>
      </c>
      <c r="H50" s="4"/>
    </row>
    <row r="51" spans="1:8" ht="15.75">
      <c r="A51" s="5">
        <f t="shared" si="0"/>
        <v>35</v>
      </c>
      <c r="B51" s="70" t="s">
        <v>46</v>
      </c>
      <c r="C51" s="16"/>
      <c r="D51" s="16"/>
      <c r="E51" s="14"/>
      <c r="F51" s="93"/>
      <c r="G51" s="5">
        <f t="shared" si="1"/>
        <v>35</v>
      </c>
      <c r="H51" s="4"/>
    </row>
    <row r="52" spans="1:8" ht="15.75">
      <c r="A52" s="5">
        <f t="shared" si="0"/>
        <v>36</v>
      </c>
      <c r="B52" s="22"/>
      <c r="C52" s="16"/>
      <c r="D52" s="16"/>
      <c r="E52" s="29"/>
      <c r="F52" s="91"/>
      <c r="G52" s="5">
        <f t="shared" si="1"/>
        <v>36</v>
      </c>
      <c r="H52" s="4"/>
    </row>
    <row r="53" spans="1:8" ht="15.75">
      <c r="A53" s="5">
        <f t="shared" si="0"/>
        <v>37</v>
      </c>
      <c r="B53" s="59" t="s">
        <v>24</v>
      </c>
      <c r="C53" s="16"/>
      <c r="D53" s="16"/>
      <c r="E53" s="29"/>
      <c r="F53" s="91"/>
      <c r="G53" s="5">
        <f t="shared" si="1"/>
        <v>37</v>
      </c>
      <c r="H53" s="4"/>
    </row>
    <row r="54" spans="1:11" ht="15.75">
      <c r="A54" s="5">
        <f t="shared" si="0"/>
        <v>38</v>
      </c>
      <c r="B54" s="59" t="s">
        <v>77</v>
      </c>
      <c r="C54" s="14">
        <f>'Distrib System Determinants'!C23*12</f>
        <v>231890.44575472455</v>
      </c>
      <c r="D54" s="190">
        <f>'Distrib Marginal Revenues'!C25/'Distrib Class EPMC Rates &amp; Rev'!C54*1000</f>
        <v>150.70034981032913</v>
      </c>
      <c r="E54" s="86">
        <f>D54*$C$160</f>
        <v>332.05526282664425</v>
      </c>
      <c r="F54" s="91">
        <f>E54*C54/1000</f>
        <v>77000.44291207274</v>
      </c>
      <c r="G54" s="5">
        <f t="shared" si="1"/>
        <v>38</v>
      </c>
      <c r="H54" s="177"/>
      <c r="K54" s="205"/>
    </row>
    <row r="55" spans="1:11" ht="15.75">
      <c r="A55" s="5">
        <f t="shared" si="0"/>
        <v>39</v>
      </c>
      <c r="B55" s="59" t="s">
        <v>36</v>
      </c>
      <c r="C55" s="14">
        <f>'Distrib System Determinants'!C24*12</f>
        <v>6890.965016408658</v>
      </c>
      <c r="D55" s="190">
        <f>'Distrib Marginal Revenues'!C26/'Distrib Class EPMC Rates &amp; Rev'!C55*1000</f>
        <v>362.5139705348203</v>
      </c>
      <c r="E55" s="86">
        <f>D55*$C$160</f>
        <v>798.76836328365</v>
      </c>
      <c r="F55" s="91">
        <f>E55*C55/1000</f>
        <v>5504.284847601634</v>
      </c>
      <c r="G55" s="5">
        <f t="shared" si="1"/>
        <v>39</v>
      </c>
      <c r="H55" s="177"/>
      <c r="K55" s="205"/>
    </row>
    <row r="56" spans="1:11" ht="15.75">
      <c r="A56" s="5">
        <f t="shared" si="0"/>
        <v>40</v>
      </c>
      <c r="B56" s="59" t="s">
        <v>37</v>
      </c>
      <c r="C56" s="78"/>
      <c r="D56" s="191"/>
      <c r="E56" s="189"/>
      <c r="F56" s="92"/>
      <c r="G56" s="5">
        <f t="shared" si="1"/>
        <v>40</v>
      </c>
      <c r="H56" s="84"/>
      <c r="K56" s="205"/>
    </row>
    <row r="57" spans="1:11" ht="15.75">
      <c r="A57" s="5">
        <f t="shared" si="0"/>
        <v>41</v>
      </c>
      <c r="B57" s="59" t="s">
        <v>84</v>
      </c>
      <c r="C57" s="14">
        <f>SUM(C54:C56)</f>
        <v>238781.4107711332</v>
      </c>
      <c r="D57" s="89">
        <f>'Distrib Marginal Revenues'!C28/'Distrib Class EPMC Rates &amp; Rev'!C57*1000</f>
        <v>156.81305450412253</v>
      </c>
      <c r="E57" s="86">
        <f>D57*$C$160</f>
        <v>345.5240820180653</v>
      </c>
      <c r="F57" s="91">
        <f>E57*C57/1000</f>
        <v>82504.72775967437</v>
      </c>
      <c r="G57" s="5">
        <f t="shared" si="1"/>
        <v>41</v>
      </c>
      <c r="H57" s="114">
        <f>SUM(F54:F56)-F57</f>
        <v>0</v>
      </c>
      <c r="K57" s="206"/>
    </row>
    <row r="58" spans="1:8" ht="15.75">
      <c r="A58" s="5">
        <f t="shared" si="0"/>
        <v>42</v>
      </c>
      <c r="B58" s="59"/>
      <c r="C58" s="14"/>
      <c r="D58" s="89"/>
      <c r="E58" s="86"/>
      <c r="F58" s="91"/>
      <c r="G58" s="5">
        <f t="shared" si="1"/>
        <v>42</v>
      </c>
      <c r="H58" s="84"/>
    </row>
    <row r="59" spans="1:8" ht="15.75">
      <c r="A59" s="5">
        <f t="shared" si="0"/>
        <v>43</v>
      </c>
      <c r="B59" s="59" t="s">
        <v>25</v>
      </c>
      <c r="C59" s="14"/>
      <c r="D59" s="89"/>
      <c r="E59" s="86"/>
      <c r="F59" s="91"/>
      <c r="G59" s="5">
        <f t="shared" si="1"/>
        <v>43</v>
      </c>
      <c r="H59" s="84"/>
    </row>
    <row r="60" spans="1:11" ht="15.75">
      <c r="A60" s="5">
        <f t="shared" si="0"/>
        <v>44</v>
      </c>
      <c r="B60" s="59" t="s">
        <v>77</v>
      </c>
      <c r="C60" s="14">
        <f>'Distrib System Determinants'!D23*12</f>
        <v>1790.8568493929424</v>
      </c>
      <c r="D60" s="89">
        <f>'Distrib Marginal Revenues'!D25/'Distrib Class EPMC Rates &amp; Rev'!C60*1000</f>
        <v>74.6780504653465</v>
      </c>
      <c r="E60" s="86">
        <f>D60*$C$160</f>
        <v>164.54666300285132</v>
      </c>
      <c r="F60" s="91">
        <f>E60*C60/1000</f>
        <v>294.6795184834086</v>
      </c>
      <c r="G60" s="5">
        <f t="shared" si="1"/>
        <v>44</v>
      </c>
      <c r="H60" s="84"/>
      <c r="K60" s="205"/>
    </row>
    <row r="61" spans="1:11" ht="15.75">
      <c r="A61" s="5">
        <f t="shared" si="0"/>
        <v>45</v>
      </c>
      <c r="B61" s="59" t="s">
        <v>36</v>
      </c>
      <c r="C61" s="14">
        <f>'Distrib System Determinants'!D24*12</f>
        <v>2665.7180639652893</v>
      </c>
      <c r="D61" s="89">
        <f>'Distrib Marginal Revenues'!D26/'Distrib Class EPMC Rates &amp; Rev'!C61*1000</f>
        <v>82.71656744950093</v>
      </c>
      <c r="E61" s="86">
        <f>D61*$C$160</f>
        <v>182.25884398497462</v>
      </c>
      <c r="F61" s="91">
        <f>E61*C61/1000</f>
        <v>485.8506927281782</v>
      </c>
      <c r="G61" s="5">
        <f t="shared" si="1"/>
        <v>45</v>
      </c>
      <c r="H61" s="84"/>
      <c r="K61" s="205"/>
    </row>
    <row r="62" spans="1:11" ht="15.75">
      <c r="A62" s="5">
        <f t="shared" si="0"/>
        <v>46</v>
      </c>
      <c r="B62" s="59" t="s">
        <v>37</v>
      </c>
      <c r="C62" s="78">
        <f>'Distrib System Determinants'!D25*12</f>
        <v>44.13952240614138</v>
      </c>
      <c r="D62" s="90">
        <f>'Distrib Marginal Revenues'!D27/'Distrib Class EPMC Rates &amp; Rev'!C62*1000</f>
        <v>105.8913995865731</v>
      </c>
      <c r="E62" s="88">
        <f>D62*$C$160</f>
        <v>233.32259390940524</v>
      </c>
      <c r="F62" s="92">
        <f>E62*C62/1000</f>
        <v>10.29874786172322</v>
      </c>
      <c r="G62" s="5">
        <f t="shared" si="1"/>
        <v>46</v>
      </c>
      <c r="H62" s="84"/>
      <c r="K62" s="205"/>
    </row>
    <row r="63" spans="1:11" ht="15.75">
      <c r="A63" s="5">
        <f t="shared" si="0"/>
        <v>47</v>
      </c>
      <c r="B63" s="59" t="s">
        <v>85</v>
      </c>
      <c r="C63" s="14">
        <f>SUM(C60:C62)</f>
        <v>4500.714435764374</v>
      </c>
      <c r="D63" s="89">
        <f>'Distrib Marginal Revenues'!D28/'Distrib Class EPMC Rates &amp; Rev'!C63*1000</f>
        <v>79.74528203059155</v>
      </c>
      <c r="E63" s="86">
        <f>D63*$C$160</f>
        <v>175.71187205059823</v>
      </c>
      <c r="F63" s="91">
        <f>E63*C63/1000</f>
        <v>790.82895907331</v>
      </c>
      <c r="G63" s="5">
        <f t="shared" si="1"/>
        <v>47</v>
      </c>
      <c r="H63" s="114">
        <f>SUM(F60:F62)-F63</f>
        <v>0</v>
      </c>
      <c r="K63" s="207"/>
    </row>
    <row r="64" spans="1:8" ht="15.75">
      <c r="A64" s="5">
        <f t="shared" si="0"/>
        <v>48</v>
      </c>
      <c r="B64" s="59"/>
      <c r="C64" s="14"/>
      <c r="D64" s="89"/>
      <c r="E64" s="86"/>
      <c r="F64" s="91"/>
      <c r="G64" s="5">
        <f t="shared" si="1"/>
        <v>48</v>
      </c>
      <c r="H64" s="84"/>
    </row>
    <row r="65" spans="1:8" ht="15.75">
      <c r="A65" s="5">
        <f t="shared" si="0"/>
        <v>49</v>
      </c>
      <c r="B65" s="59" t="s">
        <v>27</v>
      </c>
      <c r="C65" s="14"/>
      <c r="D65" s="89"/>
      <c r="E65" s="86"/>
      <c r="F65" s="91"/>
      <c r="G65" s="5">
        <f t="shared" si="1"/>
        <v>49</v>
      </c>
      <c r="H65" s="84"/>
    </row>
    <row r="66" spans="1:11" ht="15.75">
      <c r="A66" s="5">
        <f t="shared" si="0"/>
        <v>50</v>
      </c>
      <c r="B66" s="59" t="s">
        <v>77</v>
      </c>
      <c r="C66" s="14">
        <f>'Distrib System Determinants'!E23*12</f>
        <v>132.42466062324118</v>
      </c>
      <c r="D66" s="89">
        <f>'Distrib Marginal Revenues'!E25/'Distrib Class EPMC Rates &amp; Rev'!C66*1000</f>
        <v>523.2405133552635</v>
      </c>
      <c r="E66" s="86">
        <f>D66*$C$160</f>
        <v>1152.9154803051536</v>
      </c>
      <c r="F66" s="91">
        <f>E66*C66/1000</f>
        <v>152.67444120669106</v>
      </c>
      <c r="G66" s="5">
        <f t="shared" si="1"/>
        <v>50</v>
      </c>
      <c r="H66" s="84"/>
      <c r="K66" s="205"/>
    </row>
    <row r="67" spans="1:11" ht="15.75">
      <c r="A67" s="5">
        <f t="shared" si="0"/>
        <v>51</v>
      </c>
      <c r="B67" s="59" t="s">
        <v>36</v>
      </c>
      <c r="C67" s="14">
        <f>'Distrib System Determinants'!E24*12</f>
        <v>180.5178467179942</v>
      </c>
      <c r="D67" s="89">
        <f>'Distrib Marginal Revenues'!E26/'Distrib Class EPMC Rates &amp; Rev'!C67*1000</f>
        <v>778.6854642503088</v>
      </c>
      <c r="E67" s="86">
        <f>D67*$C$160</f>
        <v>1715.766465149913</v>
      </c>
      <c r="F67" s="91">
        <f>E67*C67/1000</f>
        <v>309.7264677598067</v>
      </c>
      <c r="G67" s="5">
        <f t="shared" si="1"/>
        <v>51</v>
      </c>
      <c r="H67" s="84"/>
      <c r="K67" s="205"/>
    </row>
    <row r="68" spans="1:11" ht="15.75">
      <c r="A68" s="5">
        <f t="shared" si="0"/>
        <v>52</v>
      </c>
      <c r="B68" s="59" t="s">
        <v>37</v>
      </c>
      <c r="C68" s="78">
        <f>'Distrib System Determinants'!E25*12</f>
        <v>51.81692315187409</v>
      </c>
      <c r="D68" s="90">
        <f>'Distrib Marginal Revenues'!E27/'Distrib Class EPMC Rates &amp; Rev'!C68*1000</f>
        <v>1120.8399933997232</v>
      </c>
      <c r="E68" s="88">
        <f>D68*$C$160</f>
        <v>2469.674549948853</v>
      </c>
      <c r="F68" s="92">
        <f>E68*C68/1000</f>
        <v>127.97093636483895</v>
      </c>
      <c r="G68" s="5">
        <f t="shared" si="1"/>
        <v>52</v>
      </c>
      <c r="H68" s="84"/>
      <c r="K68" s="205"/>
    </row>
    <row r="69" spans="1:11" ht="15.75">
      <c r="A69" s="5">
        <f t="shared" si="0"/>
        <v>53</v>
      </c>
      <c r="B69" s="59" t="s">
        <v>103</v>
      </c>
      <c r="C69" s="14">
        <f>SUM(C66:C68)</f>
        <v>364.75943049310945</v>
      </c>
      <c r="D69" s="89">
        <f>'Distrib Marginal Revenues'!E28/'Distrib Class EPMC Rates &amp; Rev'!C69*1000</f>
        <v>734.5527711889292</v>
      </c>
      <c r="E69" s="86">
        <f>D69*$C$160</f>
        <v>1618.5238707419498</v>
      </c>
      <c r="F69" s="91">
        <f>E69*C69/1000</f>
        <v>590.3718453313368</v>
      </c>
      <c r="G69" s="5">
        <f t="shared" si="1"/>
        <v>53</v>
      </c>
      <c r="H69" s="114">
        <f>SUM(F66:F68)-F69</f>
        <v>0</v>
      </c>
      <c r="K69" s="207"/>
    </row>
    <row r="70" spans="1:8" ht="15.75">
      <c r="A70" s="5">
        <f t="shared" si="0"/>
        <v>54</v>
      </c>
      <c r="B70" s="22"/>
      <c r="C70" s="16"/>
      <c r="D70" s="16"/>
      <c r="E70" s="14"/>
      <c r="F70" s="93"/>
      <c r="G70" s="5">
        <f t="shared" si="1"/>
        <v>54</v>
      </c>
      <c r="H70" s="4"/>
    </row>
    <row r="71" spans="1:8" ht="15.75">
      <c r="A71" s="5">
        <f t="shared" si="0"/>
        <v>55</v>
      </c>
      <c r="B71" s="59" t="s">
        <v>148</v>
      </c>
      <c r="C71" s="16"/>
      <c r="D71" s="16"/>
      <c r="E71" s="14"/>
      <c r="F71" s="93"/>
      <c r="G71" s="5">
        <f t="shared" si="1"/>
        <v>55</v>
      </c>
      <c r="H71" s="4"/>
    </row>
    <row r="72" spans="1:8" ht="15.75">
      <c r="A72" s="5">
        <f t="shared" si="0"/>
        <v>56</v>
      </c>
      <c r="B72" s="59" t="s">
        <v>24</v>
      </c>
      <c r="C72" s="14">
        <f>'Distrib System Determinants'!C51</f>
        <v>7083819.154385907</v>
      </c>
      <c r="D72" s="86">
        <f>D75*D78/D81</f>
        <v>1.1459152093496445</v>
      </c>
      <c r="E72" s="86">
        <f>D72*$C$160</f>
        <v>2.5249256322002576</v>
      </c>
      <c r="F72" s="91">
        <f>E72*C72/1000</f>
        <v>17886.11655678013</v>
      </c>
      <c r="G72" s="5">
        <f t="shared" si="1"/>
        <v>56</v>
      </c>
      <c r="H72" s="4"/>
    </row>
    <row r="73" spans="1:8" ht="15.75">
      <c r="A73" s="5">
        <f t="shared" si="0"/>
        <v>57</v>
      </c>
      <c r="B73" s="59" t="s">
        <v>25</v>
      </c>
      <c r="C73" s="14">
        <f>'Distrib System Determinants'!D51</f>
        <v>1959909.3045267595</v>
      </c>
      <c r="D73" s="86">
        <f>D75*D79/D81</f>
        <v>1.1400127368858917</v>
      </c>
      <c r="E73" s="86">
        <f>D73*$C$160</f>
        <v>2.5119200416508978</v>
      </c>
      <c r="F73" s="91">
        <f>E73*C73/1000</f>
        <v>4923.135461858839</v>
      </c>
      <c r="G73" s="5">
        <f t="shared" si="1"/>
        <v>57</v>
      </c>
      <c r="H73" s="4"/>
    </row>
    <row r="74" spans="1:8" ht="15.75">
      <c r="A74" s="5">
        <f t="shared" si="0"/>
        <v>58</v>
      </c>
      <c r="B74" s="59" t="s">
        <v>27</v>
      </c>
      <c r="C74" s="78"/>
      <c r="D74" s="88"/>
      <c r="E74" s="88"/>
      <c r="F74" s="92"/>
      <c r="G74" s="5">
        <f t="shared" si="1"/>
        <v>58</v>
      </c>
      <c r="H74" s="4"/>
    </row>
    <row r="75" spans="1:8" ht="15.75">
      <c r="A75" s="5">
        <f t="shared" si="0"/>
        <v>59</v>
      </c>
      <c r="B75" s="59" t="s">
        <v>2</v>
      </c>
      <c r="C75" s="14">
        <f>SUM(C72:C74)</f>
        <v>9043728.458912667</v>
      </c>
      <c r="D75" s="86">
        <f>('Distrib Marginal Revenues'!F$51*L32+'Distrib Marginal Revenues'!F$62*L33)/'Distrib Class EPMC Rates &amp; Rev'!C75*1000</f>
        <v>1.144568171289682</v>
      </c>
      <c r="E75" s="86">
        <f>D75*$C$160</f>
        <v>2.521957549660295</v>
      </c>
      <c r="F75" s="91">
        <f>E75*C75/1000</f>
        <v>22807.899264032465</v>
      </c>
      <c r="G75" s="5">
        <f t="shared" si="1"/>
        <v>59</v>
      </c>
      <c r="H75" s="4"/>
    </row>
    <row r="76" spans="1:8" ht="15.75">
      <c r="A76" s="5">
        <f t="shared" si="0"/>
        <v>60</v>
      </c>
      <c r="B76" s="22"/>
      <c r="C76" s="16"/>
      <c r="D76" s="16"/>
      <c r="E76" s="14"/>
      <c r="F76" s="93"/>
      <c r="G76" s="5">
        <f t="shared" si="1"/>
        <v>60</v>
      </c>
      <c r="H76" s="4"/>
    </row>
    <row r="77" spans="1:8" ht="15.75">
      <c r="A77" s="5">
        <f t="shared" si="0"/>
        <v>61</v>
      </c>
      <c r="B77" s="59" t="s">
        <v>128</v>
      </c>
      <c r="C77" s="16"/>
      <c r="D77" s="16"/>
      <c r="E77" s="14"/>
      <c r="F77" s="93"/>
      <c r="G77" s="5">
        <f t="shared" si="1"/>
        <v>61</v>
      </c>
      <c r="H77" s="4"/>
    </row>
    <row r="78" spans="1:11" ht="15.75">
      <c r="A78" s="5">
        <f t="shared" si="0"/>
        <v>62</v>
      </c>
      <c r="B78" s="59" t="s">
        <v>24</v>
      </c>
      <c r="C78" s="29">
        <f>'Distrib System Determinants'!C61</f>
        <v>17143321.437666662</v>
      </c>
      <c r="D78" s="86">
        <f>('Distrib Marginal Revenues'!C$51*(1-$L$32)+'Distrib Marginal Revenues'!C$62*(1-$L$33))/C78*1000</f>
        <v>8.099673751391705</v>
      </c>
      <c r="E78" s="86">
        <f>D78*$C$160</f>
        <v>17.846934660161626</v>
      </c>
      <c r="F78" s="91">
        <f>E78*C78/1000</f>
        <v>305955.737556185</v>
      </c>
      <c r="G78" s="5">
        <f t="shared" si="1"/>
        <v>62</v>
      </c>
      <c r="H78" s="114"/>
      <c r="K78" s="205"/>
    </row>
    <row r="79" spans="1:23" ht="15.75">
      <c r="A79" s="5">
        <f t="shared" si="0"/>
        <v>63</v>
      </c>
      <c r="B79" s="59" t="s">
        <v>25</v>
      </c>
      <c r="C79" s="29">
        <f>'Distrib System Determinants'!D61</f>
        <v>5069265.4978171745</v>
      </c>
      <c r="D79" s="86">
        <f>('Distrib Marginal Revenues'!D$51*(1-$L$32)+'Distrib Marginal Revenues'!D$62*(1-$L$33))/C79*1000</f>
        <v>8.057953298697734</v>
      </c>
      <c r="E79" s="86">
        <f>D79*$C$160</f>
        <v>17.755007229986585</v>
      </c>
      <c r="F79" s="91">
        <f>E79*C79/1000</f>
        <v>90004.84556446548</v>
      </c>
      <c r="G79" s="5">
        <f t="shared" si="1"/>
        <v>63</v>
      </c>
      <c r="H79" s="128"/>
      <c r="I79" s="138"/>
      <c r="J79" s="138"/>
      <c r="K79" s="205"/>
      <c r="L79" s="138"/>
      <c r="M79" s="138"/>
      <c r="N79" s="138"/>
      <c r="O79" s="138"/>
      <c r="P79" s="138"/>
      <c r="Q79" s="138"/>
      <c r="R79" s="138"/>
      <c r="S79" s="138"/>
      <c r="T79" s="138"/>
      <c r="U79" s="138"/>
      <c r="V79" s="138"/>
      <c r="W79" s="138"/>
    </row>
    <row r="80" spans="1:11" ht="15.75">
      <c r="A80" s="5">
        <f t="shared" si="0"/>
        <v>64</v>
      </c>
      <c r="B80" s="59" t="s">
        <v>27</v>
      </c>
      <c r="C80" s="218"/>
      <c r="D80" s="88"/>
      <c r="E80" s="88"/>
      <c r="F80" s="92"/>
      <c r="G80" s="5">
        <f t="shared" si="1"/>
        <v>64</v>
      </c>
      <c r="H80" s="114"/>
      <c r="K80" s="205"/>
    </row>
    <row r="81" spans="1:11" ht="15.75">
      <c r="A81" s="5">
        <f t="shared" si="0"/>
        <v>65</v>
      </c>
      <c r="B81" s="59" t="s">
        <v>2</v>
      </c>
      <c r="C81" s="29">
        <f>SUM(C78:C80)</f>
        <v>22212586.935483836</v>
      </c>
      <c r="D81" s="86">
        <f>('Distrib Marginal Revenues'!F51*(1-$L$32)+'Distrib Marginal Revenues'!F62*(1-$L$33))/'Distrib Class EPMC Rates &amp; Rev'!C81*1000</f>
        <v>8.09015248077117</v>
      </c>
      <c r="E81" s="86">
        <f>D81*$C$160</f>
        <v>17.825955359036413</v>
      </c>
      <c r="F81" s="91">
        <f>E81*C81/1000</f>
        <v>395960.58312065026</v>
      </c>
      <c r="G81" s="5">
        <f t="shared" si="1"/>
        <v>65</v>
      </c>
      <c r="H81" s="114">
        <f>SUM(F78:F80)-F81</f>
        <v>0</v>
      </c>
      <c r="K81" s="205"/>
    </row>
    <row r="82" spans="1:8" ht="15.75">
      <c r="A82" s="5">
        <f t="shared" si="0"/>
        <v>66</v>
      </c>
      <c r="B82" s="59"/>
      <c r="C82" s="14"/>
      <c r="D82" s="14"/>
      <c r="E82" s="15"/>
      <c r="F82" s="94"/>
      <c r="G82" s="5">
        <f t="shared" si="1"/>
        <v>66</v>
      </c>
      <c r="H82" s="84"/>
    </row>
    <row r="83" spans="1:11" ht="15.75">
      <c r="A83" s="5">
        <f aca="true" t="shared" si="2" ref="A83:A146">A82+1</f>
        <v>67</v>
      </c>
      <c r="B83" s="59" t="s">
        <v>89</v>
      </c>
      <c r="C83" s="14"/>
      <c r="D83" s="14"/>
      <c r="E83" s="15"/>
      <c r="F83" s="94">
        <f>F57+F63+F69+F75+F81</f>
        <v>502654.41094876174</v>
      </c>
      <c r="G83" s="5">
        <f aca="true" t="shared" si="3" ref="G83:G146">G82+1</f>
        <v>67</v>
      </c>
      <c r="H83" s="84"/>
      <c r="K83" s="206"/>
    </row>
    <row r="84" spans="1:8" ht="15.75">
      <c r="A84" s="5">
        <f t="shared" si="2"/>
        <v>68</v>
      </c>
      <c r="B84" s="28"/>
      <c r="C84" s="18"/>
      <c r="D84" s="18"/>
      <c r="E84" s="14"/>
      <c r="F84" s="93"/>
      <c r="G84" s="5">
        <f t="shared" si="3"/>
        <v>68</v>
      </c>
      <c r="H84" s="4"/>
    </row>
    <row r="85" spans="1:8" ht="15.75">
      <c r="A85" s="5">
        <f t="shared" si="2"/>
        <v>69</v>
      </c>
      <c r="B85" s="28" t="s">
        <v>39</v>
      </c>
      <c r="C85" s="16"/>
      <c r="D85" s="16"/>
      <c r="E85" s="14"/>
      <c r="F85" s="93"/>
      <c r="G85" s="5">
        <f t="shared" si="3"/>
        <v>69</v>
      </c>
      <c r="H85" s="4"/>
    </row>
    <row r="86" spans="1:8" ht="15.75">
      <c r="A86" s="5">
        <f t="shared" si="2"/>
        <v>70</v>
      </c>
      <c r="B86" s="59" t="s">
        <v>56</v>
      </c>
      <c r="C86" s="14"/>
      <c r="D86" s="86"/>
      <c r="E86" s="86"/>
      <c r="F86" s="91"/>
      <c r="G86" s="5">
        <f t="shared" si="3"/>
        <v>70</v>
      </c>
      <c r="H86" s="4"/>
    </row>
    <row r="87" spans="1:8" ht="15.75">
      <c r="A87" s="5">
        <f t="shared" si="2"/>
        <v>71</v>
      </c>
      <c r="B87" s="59" t="s">
        <v>24</v>
      </c>
      <c r="C87" s="14"/>
      <c r="D87" s="86"/>
      <c r="E87" s="86"/>
      <c r="F87" s="91"/>
      <c r="G87" s="5">
        <f t="shared" si="3"/>
        <v>71</v>
      </c>
      <c r="H87" s="4"/>
    </row>
    <row r="88" spans="1:11" ht="15.75">
      <c r="A88" s="5">
        <f t="shared" si="2"/>
        <v>72</v>
      </c>
      <c r="B88" s="59" t="s">
        <v>80</v>
      </c>
      <c r="C88" s="14">
        <f>'Distrib System Determinants'!C29*12</f>
        <v>34978.93074847362</v>
      </c>
      <c r="D88" s="86">
        <f>'Distrib Marginal Revenues'!C31/'Distrib Class EPMC Rates &amp; Rev'!C88*1000</f>
        <v>31.05177833911659</v>
      </c>
      <c r="E88" s="86">
        <f>D88*$C$160</f>
        <v>68.41992358084984</v>
      </c>
      <c r="F88" s="91">
        <f>E88*C88/1000</f>
        <v>2393.255768750404</v>
      </c>
      <c r="G88" s="5">
        <f t="shared" si="3"/>
        <v>72</v>
      </c>
      <c r="H88" s="4"/>
      <c r="K88" s="205"/>
    </row>
    <row r="89" spans="1:11" ht="15.75">
      <c r="A89" s="5">
        <f t="shared" si="2"/>
        <v>73</v>
      </c>
      <c r="B89" s="59" t="s">
        <v>81</v>
      </c>
      <c r="C89" s="78">
        <f>'Distrib System Determinants'!C30*12</f>
        <v>12071.02565411382</v>
      </c>
      <c r="D89" s="88">
        <f>'Distrib Marginal Revenues'!C32/'Distrib Class EPMC Rates &amp; Rev'!C89*1000</f>
        <v>105.9210066603277</v>
      </c>
      <c r="E89" s="88">
        <f>D89*$C$160</f>
        <v>233.38783055065716</v>
      </c>
      <c r="F89" s="92">
        <f>E89*C89/1000</f>
        <v>2817.230489934952</v>
      </c>
      <c r="G89" s="5">
        <f t="shared" si="3"/>
        <v>73</v>
      </c>
      <c r="H89" s="4"/>
      <c r="K89" s="205"/>
    </row>
    <row r="90" spans="1:11" ht="15.75">
      <c r="A90" s="5">
        <f t="shared" si="2"/>
        <v>74</v>
      </c>
      <c r="B90" s="59" t="s">
        <v>84</v>
      </c>
      <c r="C90" s="14">
        <f>SUM(C88:C89)</f>
        <v>47049.95640258744</v>
      </c>
      <c r="D90" s="86">
        <f>'Distrib Marginal Revenues'!C33/'Distrib Class EPMC Rates &amp; Rev'!C90*1000</f>
        <v>50.260050670679135</v>
      </c>
      <c r="E90" s="86">
        <f>D90*$C$160</f>
        <v>110.74370003877013</v>
      </c>
      <c r="F90" s="91">
        <f>E90*C90/1000</f>
        <v>5210.486258685356</v>
      </c>
      <c r="G90" s="5">
        <f t="shared" si="3"/>
        <v>74</v>
      </c>
      <c r="H90" s="114">
        <f>SUM(F88:F89)-F90</f>
        <v>0</v>
      </c>
      <c r="K90" s="205"/>
    </row>
    <row r="91" spans="1:8" ht="15.75">
      <c r="A91" s="5">
        <f t="shared" si="2"/>
        <v>75</v>
      </c>
      <c r="B91" s="59"/>
      <c r="C91" s="14"/>
      <c r="D91" s="86"/>
      <c r="E91" s="86"/>
      <c r="F91" s="91"/>
      <c r="G91" s="5">
        <f t="shared" si="3"/>
        <v>75</v>
      </c>
      <c r="H91" s="4"/>
    </row>
    <row r="92" spans="1:8" ht="15.75">
      <c r="A92" s="5">
        <f t="shared" si="2"/>
        <v>76</v>
      </c>
      <c r="B92" s="59" t="s">
        <v>25</v>
      </c>
      <c r="C92" s="14"/>
      <c r="D92" s="86"/>
      <c r="E92" s="86"/>
      <c r="F92" s="91"/>
      <c r="G92" s="5">
        <f t="shared" si="3"/>
        <v>76</v>
      </c>
      <c r="H92" s="4"/>
    </row>
    <row r="93" spans="1:11" ht="15.75">
      <c r="A93" s="5">
        <f t="shared" si="2"/>
        <v>77</v>
      </c>
      <c r="B93" s="59" t="s">
        <v>80</v>
      </c>
      <c r="C93" s="14">
        <f>'Distrib System Determinants'!D29*12</f>
        <v>23.607468467504603</v>
      </c>
      <c r="D93" s="86">
        <f>'Distrib Marginal Revenues'!D31/'Distrib Class EPMC Rates &amp; Rev'!C93*1000</f>
        <v>47.26296508476788</v>
      </c>
      <c r="E93" s="86">
        <f>D93*$C$160</f>
        <v>104.1398796548343</v>
      </c>
      <c r="F93" s="91">
        <f>E93*C93/1000</f>
        <v>2.458478925161225</v>
      </c>
      <c r="G93" s="5">
        <f t="shared" si="3"/>
        <v>77</v>
      </c>
      <c r="H93" s="4"/>
      <c r="K93" s="205"/>
    </row>
    <row r="94" spans="1:11" ht="15.75">
      <c r="A94" s="5">
        <f t="shared" si="2"/>
        <v>78</v>
      </c>
      <c r="B94" s="59" t="s">
        <v>81</v>
      </c>
      <c r="C94" s="78">
        <f>'Distrib System Determinants'!D30*12</f>
        <v>146.43612894505952</v>
      </c>
      <c r="D94" s="88">
        <f>'Distrib Marginal Revenues'!D32/'Distrib Class EPMC Rates &amp; Rev'!C94*1000</f>
        <v>54.50985100191327</v>
      </c>
      <c r="E94" s="88">
        <f>D94*$C$160</f>
        <v>120.10776964925743</v>
      </c>
      <c r="F94" s="92">
        <f>E94*C94/1000</f>
        <v>17.588116843662167</v>
      </c>
      <c r="G94" s="5">
        <f t="shared" si="3"/>
        <v>78</v>
      </c>
      <c r="H94" s="4"/>
      <c r="K94" s="205"/>
    </row>
    <row r="95" spans="1:11" ht="15.75">
      <c r="A95" s="5">
        <f t="shared" si="2"/>
        <v>79</v>
      </c>
      <c r="B95" s="59" t="s">
        <v>90</v>
      </c>
      <c r="C95" s="14">
        <f>SUM(C93:C94)</f>
        <v>170.0435974125641</v>
      </c>
      <c r="D95" s="86">
        <f>'Distrib Marginal Revenues'!D33/'Distrib Class EPMC Rates &amp; Rev'!C95*1000</f>
        <v>53.503752369681145</v>
      </c>
      <c r="E95" s="86">
        <f>D95*$C$160</f>
        <v>117.89091782259719</v>
      </c>
      <c r="F95" s="91">
        <f>E95*C95/1000</f>
        <v>20.046595768823394</v>
      </c>
      <c r="G95" s="5">
        <f t="shared" si="3"/>
        <v>79</v>
      </c>
      <c r="H95" s="4"/>
      <c r="K95" s="205"/>
    </row>
    <row r="96" spans="1:8" ht="15.75">
      <c r="A96" s="5">
        <f t="shared" si="2"/>
        <v>80</v>
      </c>
      <c r="B96" s="59"/>
      <c r="C96" s="14"/>
      <c r="D96" s="86"/>
      <c r="E96" s="86"/>
      <c r="F96" s="91"/>
      <c r="G96" s="5">
        <f t="shared" si="3"/>
        <v>80</v>
      </c>
      <c r="H96" s="4"/>
    </row>
    <row r="97" spans="1:8" ht="15.75">
      <c r="A97" s="5">
        <f t="shared" si="2"/>
        <v>81</v>
      </c>
      <c r="B97" s="59" t="s">
        <v>148</v>
      </c>
      <c r="C97" s="14"/>
      <c r="D97" s="86"/>
      <c r="E97" s="86"/>
      <c r="F97" s="91"/>
      <c r="G97" s="5">
        <f t="shared" si="3"/>
        <v>81</v>
      </c>
      <c r="H97" s="4"/>
    </row>
    <row r="98" spans="1:8" ht="15.75">
      <c r="A98" s="5">
        <f t="shared" si="2"/>
        <v>82</v>
      </c>
      <c r="B98" s="59" t="s">
        <v>24</v>
      </c>
      <c r="C98" s="14">
        <f>'Distrib System Determinants'!C52</f>
        <v>469880.6740370452</v>
      </c>
      <c r="D98" s="86">
        <f>D100*D103/D105</f>
        <v>0.6349682795290523</v>
      </c>
      <c r="E98" s="86">
        <f>D98*$C$160</f>
        <v>1.399098006149088</v>
      </c>
      <c r="F98" s="91">
        <f>E98*C98/1000</f>
        <v>657.4091141732196</v>
      </c>
      <c r="G98" s="5">
        <f t="shared" si="3"/>
        <v>82</v>
      </c>
      <c r="H98" s="4"/>
    </row>
    <row r="99" spans="1:8" ht="15.75">
      <c r="A99" s="5">
        <f t="shared" si="2"/>
        <v>83</v>
      </c>
      <c r="B99" s="59" t="s">
        <v>25</v>
      </c>
      <c r="C99" s="78">
        <f>'Distrib System Determinants'!D52</f>
        <v>62861.6578996485</v>
      </c>
      <c r="D99" s="88">
        <f>D100*D104/D105</f>
        <v>0.6316976337127672</v>
      </c>
      <c r="E99" s="88">
        <f>D99*$C$160</f>
        <v>1.3918914193196195</v>
      </c>
      <c r="F99" s="92">
        <f>E99*C99/1000</f>
        <v>87.49660223472611</v>
      </c>
      <c r="G99" s="5">
        <f t="shared" si="3"/>
        <v>83</v>
      </c>
      <c r="H99" s="4"/>
    </row>
    <row r="100" spans="1:8" ht="15.75">
      <c r="A100" s="5">
        <f t="shared" si="2"/>
        <v>84</v>
      </c>
      <c r="B100" s="59" t="s">
        <v>2</v>
      </c>
      <c r="C100" s="14">
        <f>C98+C99</f>
        <v>532742.3319366938</v>
      </c>
      <c r="D100" s="86">
        <f>('Distrib Marginal Revenues'!F52*L32+'Distrib Marginal Revenues'!F63*L33)/'Distrib Class EPMC Rates &amp; Rev'!C100*1000</f>
        <v>0.6345746857300849</v>
      </c>
      <c r="E100" s="86">
        <f>D100*$C$160</f>
        <v>1.3982307560562544</v>
      </c>
      <c r="F100" s="91">
        <f>E100*C100/1000</f>
        <v>744.8967135670154</v>
      </c>
      <c r="G100" s="5">
        <f t="shared" si="3"/>
        <v>84</v>
      </c>
      <c r="H100" s="4"/>
    </row>
    <row r="101" spans="1:8" ht="15.75">
      <c r="A101" s="5">
        <f t="shared" si="2"/>
        <v>85</v>
      </c>
      <c r="B101" s="59"/>
      <c r="C101" s="14"/>
      <c r="D101" s="86"/>
      <c r="E101" s="86"/>
      <c r="F101" s="91"/>
      <c r="G101" s="5">
        <f t="shared" si="3"/>
        <v>85</v>
      </c>
      <c r="H101" s="4"/>
    </row>
    <row r="102" spans="1:8" ht="15.75">
      <c r="A102" s="5">
        <f t="shared" si="2"/>
        <v>86</v>
      </c>
      <c r="B102" s="59" t="s">
        <v>128</v>
      </c>
      <c r="C102" s="14"/>
      <c r="D102" s="86"/>
      <c r="E102" s="86"/>
      <c r="F102" s="91"/>
      <c r="G102" s="5">
        <f t="shared" si="3"/>
        <v>86</v>
      </c>
      <c r="H102" s="4"/>
    </row>
    <row r="103" spans="1:11" ht="15.75">
      <c r="A103" s="5">
        <f t="shared" si="2"/>
        <v>87</v>
      </c>
      <c r="B103" s="59" t="s">
        <v>24</v>
      </c>
      <c r="C103" s="29">
        <f>'Distrib System Determinants'!C62</f>
        <v>1366013.584983015</v>
      </c>
      <c r="D103" s="86">
        <f>('Distrib Marginal Revenues'!C52*(1-$L$32)+'Distrib Marginal Revenues'!C63*(1-$L$33))/'Distrib Class EPMC Rates &amp; Rev'!C103*1000</f>
        <v>3.7483220748937844</v>
      </c>
      <c r="E103" s="86">
        <f>D103*$C$160</f>
        <v>8.259105392285285</v>
      </c>
      <c r="F103" s="91">
        <f>E103*C103/1000</f>
        <v>11282.050165668174</v>
      </c>
      <c r="G103" s="5">
        <f t="shared" si="3"/>
        <v>87</v>
      </c>
      <c r="H103" s="4"/>
      <c r="K103" s="205"/>
    </row>
    <row r="104" spans="1:11" ht="15.75">
      <c r="A104" s="5">
        <f t="shared" si="2"/>
        <v>88</v>
      </c>
      <c r="B104" s="59" t="s">
        <v>25</v>
      </c>
      <c r="C104" s="218">
        <f>'Distrib System Determinants'!D62</f>
        <v>186876.8701845754</v>
      </c>
      <c r="D104" s="88">
        <f>('Distrib Marginal Revenues'!D52*(1-$L$32)+'Distrib Marginal Revenues'!D63*(1-$L$33))/'Distrib Class EPMC Rates &amp; Rev'!C104*1000</f>
        <v>3.7290149152960903</v>
      </c>
      <c r="E104" s="88">
        <f>D104*$C$160</f>
        <v>8.216563726239272</v>
      </c>
      <c r="F104" s="92">
        <f>E104*C104/1000</f>
        <v>1535.4857128317076</v>
      </c>
      <c r="G104" s="5">
        <f t="shared" si="3"/>
        <v>88</v>
      </c>
      <c r="H104" s="4"/>
      <c r="K104" s="205"/>
    </row>
    <row r="105" spans="1:11" ht="15.75">
      <c r="A105" s="5">
        <f t="shared" si="2"/>
        <v>89</v>
      </c>
      <c r="B105" s="59" t="s">
        <v>2</v>
      </c>
      <c r="C105" s="29">
        <f>SUM(C103:C104)</f>
        <v>1552890.4551675904</v>
      </c>
      <c r="D105" s="86">
        <f>('Distrib Marginal Revenues'!F52*(1-$L$32)+'Distrib Marginal Revenues'!F63*(1-$L$33))/'Distrib Class EPMC Rates &amp; Rev'!C105*1000</f>
        <v>3.7459986260337796</v>
      </c>
      <c r="E105" s="86">
        <f>D105*$C$160</f>
        <v>8.253985872504183</v>
      </c>
      <c r="F105" s="91">
        <f>E105*C105/1000</f>
        <v>12817.53587849988</v>
      </c>
      <c r="G105" s="5">
        <f t="shared" si="3"/>
        <v>89</v>
      </c>
      <c r="H105" s="4"/>
      <c r="K105" s="205"/>
    </row>
    <row r="106" spans="1:8" ht="15.75">
      <c r="A106" s="5">
        <f t="shared" si="2"/>
        <v>90</v>
      </c>
      <c r="B106" s="59"/>
      <c r="C106" s="14"/>
      <c r="D106" s="86"/>
      <c r="E106" s="86"/>
      <c r="F106" s="91"/>
      <c r="G106" s="5">
        <f t="shared" si="3"/>
        <v>90</v>
      </c>
      <c r="H106" s="4"/>
    </row>
    <row r="107" spans="1:11" ht="15.75">
      <c r="A107" s="5">
        <f t="shared" si="2"/>
        <v>91</v>
      </c>
      <c r="B107" s="59" t="s">
        <v>93</v>
      </c>
      <c r="C107" s="14"/>
      <c r="D107" s="86"/>
      <c r="E107" s="86"/>
      <c r="F107" s="91">
        <f>F90+F95+F100+F105</f>
        <v>18792.965446521077</v>
      </c>
      <c r="G107" s="5">
        <f t="shared" si="3"/>
        <v>91</v>
      </c>
      <c r="H107" s="4"/>
      <c r="K107" s="206"/>
    </row>
    <row r="108" spans="1:8" ht="15.75">
      <c r="A108" s="5">
        <f t="shared" si="2"/>
        <v>92</v>
      </c>
      <c r="B108" s="28"/>
      <c r="C108" s="18"/>
      <c r="D108" s="18"/>
      <c r="E108" s="14"/>
      <c r="F108" s="93"/>
      <c r="G108" s="5">
        <f t="shared" si="3"/>
        <v>92</v>
      </c>
      <c r="H108" s="4"/>
    </row>
    <row r="109" spans="1:8" ht="15.75">
      <c r="A109" s="5">
        <f t="shared" si="2"/>
        <v>93</v>
      </c>
      <c r="B109" s="28" t="s">
        <v>44</v>
      </c>
      <c r="C109" s="16"/>
      <c r="D109" s="16"/>
      <c r="E109" s="14"/>
      <c r="F109" s="93"/>
      <c r="G109" s="5">
        <f t="shared" si="3"/>
        <v>93</v>
      </c>
      <c r="H109" s="4"/>
    </row>
    <row r="110" spans="1:8" ht="15.75">
      <c r="A110" s="5">
        <f t="shared" si="2"/>
        <v>94</v>
      </c>
      <c r="B110" s="59" t="s">
        <v>98</v>
      </c>
      <c r="C110" s="14">
        <f>'Distrib System Determinants'!C44*12</f>
        <v>1931845</v>
      </c>
      <c r="D110" s="86">
        <f>'Distrib Marginal Revenues'!F35/'Distrib Class EPMC Rates &amp; Rev'!C110*1000</f>
        <v>0.6364839762244315</v>
      </c>
      <c r="E110" s="86">
        <f>D110*$C$160</f>
        <v>1.4024377134900667</v>
      </c>
      <c r="F110" s="91">
        <f>E110*C110/1000</f>
        <v>2709.2922846172182</v>
      </c>
      <c r="G110" s="5">
        <f t="shared" si="3"/>
        <v>94</v>
      </c>
      <c r="H110" s="4"/>
    </row>
    <row r="111" spans="1:8" ht="15.75">
      <c r="A111" s="5">
        <f t="shared" si="2"/>
        <v>95</v>
      </c>
      <c r="B111" s="59" t="s">
        <v>148</v>
      </c>
      <c r="C111" s="14">
        <f>'Distrib System Determinants'!F53</f>
        <v>236762.21787628948</v>
      </c>
      <c r="D111" s="86">
        <f>('Distrib Marginal Revenues'!F53*$L$32+'Distrib Marginal Revenues'!F64*$L$33)/'Distrib Class EPMC Rates &amp; Rev'!C111*1000</f>
        <v>0.23682323415241086</v>
      </c>
      <c r="E111" s="86">
        <f>D111*$C$160</f>
        <v>0.5218196331920176</v>
      </c>
      <c r="F111" s="91">
        <f>E111*C111/1000</f>
        <v>123.54717368593393</v>
      </c>
      <c r="G111" s="5">
        <f t="shared" si="3"/>
        <v>95</v>
      </c>
      <c r="H111" s="4"/>
    </row>
    <row r="112" spans="1:8" ht="15.75">
      <c r="A112" s="5">
        <f t="shared" si="2"/>
        <v>96</v>
      </c>
      <c r="B112" s="59" t="s">
        <v>128</v>
      </c>
      <c r="C112" s="218">
        <f>'Distrib System Determinants'!F63</f>
        <v>236762.21787628953</v>
      </c>
      <c r="D112" s="88">
        <f>('Distrib Marginal Revenues'!F53*(1-$L$32)+'Distrib Marginal Revenues'!F64*(1-$L$33))/'Distrib Class EPMC Rates &amp; Rev'!C112*1000</f>
        <v>3.8175731670858233</v>
      </c>
      <c r="E112" s="88">
        <f>D112*$C$160</f>
        <v>8.4116942193703</v>
      </c>
      <c r="F112" s="92">
        <f>E112*C112/1000</f>
        <v>1991.5713794752762</v>
      </c>
      <c r="G112" s="5">
        <f t="shared" si="3"/>
        <v>96</v>
      </c>
      <c r="H112" s="4"/>
    </row>
    <row r="113" spans="1:8" ht="15.75">
      <c r="A113" s="5">
        <f t="shared" si="2"/>
        <v>97</v>
      </c>
      <c r="B113" s="59" t="s">
        <v>91</v>
      </c>
      <c r="C113" s="59"/>
      <c r="D113" s="59"/>
      <c r="E113" s="14"/>
      <c r="F113" s="91">
        <f>SUM(F110:F112)</f>
        <v>4824.410837778429</v>
      </c>
      <c r="G113" s="5">
        <f t="shared" si="3"/>
        <v>97</v>
      </c>
      <c r="H113" s="4"/>
    </row>
    <row r="114" spans="1:8" ht="15.75">
      <c r="A114" s="5">
        <f t="shared" si="2"/>
        <v>98</v>
      </c>
      <c r="B114" s="28"/>
      <c r="C114" s="18"/>
      <c r="D114" s="18"/>
      <c r="E114" s="14"/>
      <c r="F114" s="93"/>
      <c r="G114" s="5">
        <f t="shared" si="3"/>
        <v>98</v>
      </c>
      <c r="H114" s="4"/>
    </row>
    <row r="115" spans="1:8" ht="15.75">
      <c r="A115" s="5">
        <f t="shared" si="2"/>
        <v>99</v>
      </c>
      <c r="B115" s="28" t="s">
        <v>149</v>
      </c>
      <c r="C115" s="16"/>
      <c r="D115" s="16"/>
      <c r="E115" s="14"/>
      <c r="F115" s="93"/>
      <c r="G115" s="5">
        <f t="shared" si="3"/>
        <v>99</v>
      </c>
      <c r="H115" s="4"/>
    </row>
    <row r="116" spans="1:8" ht="15.75">
      <c r="A116" s="5">
        <f t="shared" si="2"/>
        <v>100</v>
      </c>
      <c r="B116" s="268" t="s">
        <v>152</v>
      </c>
      <c r="C116" s="16"/>
      <c r="D116" s="16"/>
      <c r="E116" s="14"/>
      <c r="F116" s="93"/>
      <c r="G116" s="5">
        <f t="shared" si="3"/>
        <v>100</v>
      </c>
      <c r="H116" s="4"/>
    </row>
    <row r="117" spans="1:8" ht="15.75">
      <c r="A117" s="5">
        <f t="shared" si="2"/>
        <v>101</v>
      </c>
      <c r="B117" s="59" t="s">
        <v>56</v>
      </c>
      <c r="C117" s="14"/>
      <c r="D117" s="86"/>
      <c r="E117" s="86"/>
      <c r="F117" s="91"/>
      <c r="G117" s="5">
        <f t="shared" si="3"/>
        <v>101</v>
      </c>
      <c r="H117" s="4"/>
    </row>
    <row r="118" spans="1:8" ht="15.75">
      <c r="A118" s="5">
        <f t="shared" si="2"/>
        <v>102</v>
      </c>
      <c r="B118" s="59" t="s">
        <v>24</v>
      </c>
      <c r="C118" s="14"/>
      <c r="D118" s="86"/>
      <c r="E118" s="86"/>
      <c r="F118" s="91"/>
      <c r="G118" s="5">
        <f t="shared" si="3"/>
        <v>102</v>
      </c>
      <c r="H118" s="4"/>
    </row>
    <row r="119" spans="1:8" ht="15.75">
      <c r="A119" s="5">
        <f t="shared" si="2"/>
        <v>103</v>
      </c>
      <c r="B119" s="59" t="s">
        <v>80</v>
      </c>
      <c r="C119" s="14">
        <f>'Distrib System Determinants'!C36*12</f>
        <v>7468.999999999998</v>
      </c>
      <c r="D119" s="86">
        <f>'Distrib Marginal Revenues'!C38/'Distrib Class EPMC Rates &amp; Rev'!C119*1000</f>
        <v>35.71255275540783</v>
      </c>
      <c r="E119" s="86">
        <f>D119*$C$160</f>
        <v>78.68953925012423</v>
      </c>
      <c r="F119" s="91">
        <f>E119*C119/1000</f>
        <v>587.7321686591778</v>
      </c>
      <c r="G119" s="5">
        <f t="shared" si="3"/>
        <v>103</v>
      </c>
      <c r="H119" s="4"/>
    </row>
    <row r="120" spans="1:8" ht="15.75">
      <c r="A120" s="5">
        <f t="shared" si="2"/>
        <v>104</v>
      </c>
      <c r="B120" s="59" t="s">
        <v>81</v>
      </c>
      <c r="C120" s="78">
        <f>'Distrib System Determinants'!C37*12</f>
        <v>10986.729842367813</v>
      </c>
      <c r="D120" s="88">
        <f>'Distrib Marginal Revenues'!C39/'Distrib Class EPMC Rates &amp; Rev'!C120*1000</f>
        <v>172.84279317273527</v>
      </c>
      <c r="E120" s="88">
        <f>D120*$C$160</f>
        <v>380.84423285612127</v>
      </c>
      <c r="F120" s="92">
        <f>E120*C120/1000</f>
        <v>4184.232698414024</v>
      </c>
      <c r="G120" s="5">
        <f t="shared" si="3"/>
        <v>104</v>
      </c>
      <c r="H120" s="4"/>
    </row>
    <row r="121" spans="1:8" ht="15.75">
      <c r="A121" s="5">
        <f t="shared" si="2"/>
        <v>105</v>
      </c>
      <c r="B121" s="59" t="s">
        <v>84</v>
      </c>
      <c r="C121" s="14">
        <f>SUM(C119:C120)</f>
        <v>18455.72984236781</v>
      </c>
      <c r="D121" s="86">
        <f>('Distrib Marginal Revenues'!C38+'Distrib Marginal Revenues'!C39)/'Distrib Class EPMC Rates &amp; Rev'!C121*1000</f>
        <v>117.34643651683325</v>
      </c>
      <c r="E121" s="86">
        <f>D121*$C$160</f>
        <v>258.56278282305925</v>
      </c>
      <c r="F121" s="91">
        <f>E121*C121/1000</f>
        <v>4771.964867073201</v>
      </c>
      <c r="G121" s="5">
        <f t="shared" si="3"/>
        <v>105</v>
      </c>
      <c r="H121" s="4"/>
    </row>
    <row r="122" spans="1:8" ht="15.75">
      <c r="A122" s="5">
        <f t="shared" si="2"/>
        <v>106</v>
      </c>
      <c r="B122" s="59"/>
      <c r="C122" s="14"/>
      <c r="D122" s="86"/>
      <c r="E122" s="86"/>
      <c r="F122" s="91"/>
      <c r="G122" s="5">
        <f t="shared" si="3"/>
        <v>106</v>
      </c>
      <c r="H122" s="4"/>
    </row>
    <row r="123" spans="1:8" ht="15.75">
      <c r="A123" s="5">
        <f t="shared" si="2"/>
        <v>107</v>
      </c>
      <c r="B123" s="59" t="s">
        <v>25</v>
      </c>
      <c r="C123" s="14"/>
      <c r="D123" s="86"/>
      <c r="E123" s="86"/>
      <c r="F123" s="91"/>
      <c r="G123" s="5">
        <f t="shared" si="3"/>
        <v>107</v>
      </c>
      <c r="H123" s="4"/>
    </row>
    <row r="124" spans="1:8" ht="15.75">
      <c r="A124" s="5">
        <f t="shared" si="2"/>
        <v>108</v>
      </c>
      <c r="B124" s="59" t="s">
        <v>80</v>
      </c>
      <c r="C124" s="14">
        <f>'Distrib System Determinants'!D36*12</f>
        <v>60.000000000000014</v>
      </c>
      <c r="D124" s="86">
        <f>'Distrib Marginal Revenues'!D38/'Distrib Class EPMC Rates &amp; Rev'!C124*1000</f>
        <v>47.26296508476787</v>
      </c>
      <c r="E124" s="86">
        <f>D124*$C$160</f>
        <v>104.13987965483429</v>
      </c>
      <c r="F124" s="91">
        <f>E124*C124/1000</f>
        <v>6.248392779290058</v>
      </c>
      <c r="G124" s="5">
        <f t="shared" si="3"/>
        <v>108</v>
      </c>
      <c r="H124" s="4"/>
    </row>
    <row r="125" spans="1:8" ht="15.75">
      <c r="A125" s="5">
        <f t="shared" si="2"/>
        <v>109</v>
      </c>
      <c r="B125" s="59" t="s">
        <v>81</v>
      </c>
      <c r="C125" s="78">
        <f>'Distrib System Determinants'!D37*12</f>
        <v>508.50121578656467</v>
      </c>
      <c r="D125" s="88">
        <f>'Distrib Marginal Revenues'!D39/'Distrib Class EPMC Rates &amp; Rev'!C125*1000</f>
        <v>74.24354933191225</v>
      </c>
      <c r="E125" s="88">
        <f>D125*$C$160</f>
        <v>163.58927711594015</v>
      </c>
      <c r="F125" s="92">
        <f>E125*C125/1000</f>
        <v>83.18534630310081</v>
      </c>
      <c r="G125" s="5">
        <f t="shared" si="3"/>
        <v>109</v>
      </c>
      <c r="H125" s="4"/>
    </row>
    <row r="126" spans="1:8" ht="15.75">
      <c r="A126" s="5">
        <f t="shared" si="2"/>
        <v>110</v>
      </c>
      <c r="B126" s="59" t="s">
        <v>90</v>
      </c>
      <c r="C126" s="14">
        <f>SUM(C124:C125)</f>
        <v>568.5012157865647</v>
      </c>
      <c r="D126" s="86">
        <f>('Distrib Marginal Revenues'!D38+'Distrib Marginal Revenues'!D39)/'Distrib Class EPMC Rates &amp; Rev'!C126*1000</f>
        <v>71.39600035598107</v>
      </c>
      <c r="E126" s="86">
        <f>D126*$C$160</f>
        <v>157.31494779417926</v>
      </c>
      <c r="F126" s="91">
        <f>E126*C126/1000</f>
        <v>89.43373908239086</v>
      </c>
      <c r="G126" s="5">
        <f t="shared" si="3"/>
        <v>110</v>
      </c>
      <c r="H126" s="4"/>
    </row>
    <row r="127" spans="1:8" ht="15.75">
      <c r="A127" s="5">
        <f t="shared" si="2"/>
        <v>111</v>
      </c>
      <c r="B127" s="59"/>
      <c r="C127" s="14"/>
      <c r="D127" s="86"/>
      <c r="E127" s="86"/>
      <c r="F127" s="91"/>
      <c r="G127" s="5">
        <f t="shared" si="3"/>
        <v>111</v>
      </c>
      <c r="H127" s="4"/>
    </row>
    <row r="128" spans="1:8" ht="15.75">
      <c r="A128" s="5">
        <f t="shared" si="2"/>
        <v>112</v>
      </c>
      <c r="B128" s="59" t="s">
        <v>148</v>
      </c>
      <c r="C128" s="14"/>
      <c r="D128" s="86"/>
      <c r="E128" s="86"/>
      <c r="F128" s="91"/>
      <c r="G128" s="5">
        <f t="shared" si="3"/>
        <v>112</v>
      </c>
      <c r="H128" s="4"/>
    </row>
    <row r="129" spans="1:8" ht="15.75">
      <c r="A129" s="5">
        <f t="shared" si="2"/>
        <v>113</v>
      </c>
      <c r="B129" s="59" t="s">
        <v>24</v>
      </c>
      <c r="C129" s="14">
        <f>'Distrib System Determinants'!C54</f>
        <v>410303.4041789269</v>
      </c>
      <c r="D129" s="86">
        <f>D131*D134/D136</f>
        <v>0.9849941263757327</v>
      </c>
      <c r="E129" s="86">
        <f>D129*$C$160</f>
        <v>2.170349862678135</v>
      </c>
      <c r="F129" s="91">
        <f>E129*C129/1000</f>
        <v>890.5019369161054</v>
      </c>
      <c r="G129" s="5">
        <f t="shared" si="3"/>
        <v>113</v>
      </c>
      <c r="H129" s="4"/>
    </row>
    <row r="130" spans="1:8" ht="15.75">
      <c r="A130" s="5">
        <f t="shared" si="2"/>
        <v>114</v>
      </c>
      <c r="B130" s="59" t="s">
        <v>25</v>
      </c>
      <c r="C130" s="78">
        <f>'Distrib System Determinants'!D54</f>
        <v>50344.38336972143</v>
      </c>
      <c r="D130" s="88">
        <f>D131*D135/D136</f>
        <v>0.9799205392023929</v>
      </c>
      <c r="E130" s="88">
        <f>D130*$C$160</f>
        <v>2.1591706495944387</v>
      </c>
      <c r="F130" s="92">
        <f>E130*C130/1000</f>
        <v>108.70211494383287</v>
      </c>
      <c r="G130" s="5">
        <f t="shared" si="3"/>
        <v>114</v>
      </c>
      <c r="H130" s="4"/>
    </row>
    <row r="131" spans="1:8" ht="15.75">
      <c r="A131" s="5">
        <f t="shared" si="2"/>
        <v>115</v>
      </c>
      <c r="B131" s="59" t="s">
        <v>2</v>
      </c>
      <c r="C131" s="14">
        <f>C129+C130</f>
        <v>460647.7875486483</v>
      </c>
      <c r="D131" s="86">
        <f>('Distrib Marginal Revenues'!F54*L32+'Distrib Marginal Revenues'!F65*L33)/'Distrib Class EPMC Rates &amp; Rev'!C131*1000</f>
        <v>0.9844409112240085</v>
      </c>
      <c r="E131" s="86">
        <f>D131*$C$160</f>
        <v>2.1691309006595554</v>
      </c>
      <c r="F131" s="91">
        <f>E131*C131/1000</f>
        <v>999.2053502922311</v>
      </c>
      <c r="G131" s="5">
        <f t="shared" si="3"/>
        <v>115</v>
      </c>
      <c r="H131" s="4"/>
    </row>
    <row r="132" spans="1:8" ht="15.75">
      <c r="A132" s="5">
        <f t="shared" si="2"/>
        <v>116</v>
      </c>
      <c r="B132" s="59"/>
      <c r="C132" s="14"/>
      <c r="D132" s="86"/>
      <c r="E132" s="86"/>
      <c r="F132" s="91"/>
      <c r="G132" s="5">
        <f t="shared" si="3"/>
        <v>116</v>
      </c>
      <c r="H132" s="4"/>
    </row>
    <row r="133" spans="1:8" ht="15.75">
      <c r="A133" s="5">
        <f t="shared" si="2"/>
        <v>117</v>
      </c>
      <c r="B133" s="59" t="s">
        <v>128</v>
      </c>
      <c r="C133" s="14"/>
      <c r="D133" s="86"/>
      <c r="E133" s="86"/>
      <c r="F133" s="91"/>
      <c r="G133" s="5">
        <f t="shared" si="3"/>
        <v>117</v>
      </c>
      <c r="H133" s="4"/>
    </row>
    <row r="134" spans="1:8" ht="15.75">
      <c r="A134" s="5">
        <f t="shared" si="2"/>
        <v>118</v>
      </c>
      <c r="B134" s="59" t="s">
        <v>24</v>
      </c>
      <c r="C134" s="29">
        <f>'Distrib System Determinants'!C64</f>
        <v>1476932.2183486968</v>
      </c>
      <c r="D134" s="86">
        <f>('Distrib Marginal Revenues'!C54*(1-$L$32)+'Distrib Marginal Revenues'!C65*(1-$L$33))/'Distrib Class EPMC Rates &amp; Rev'!C134*1000</f>
        <v>4.777875486905059</v>
      </c>
      <c r="E134" s="86">
        <f>D134*$C$160</f>
        <v>10.527637809427958</v>
      </c>
      <c r="F134" s="91">
        <f>E134*C134/1000</f>
        <v>15548.607463850049</v>
      </c>
      <c r="G134" s="5">
        <f t="shared" si="3"/>
        <v>118</v>
      </c>
      <c r="H134" s="4"/>
    </row>
    <row r="135" spans="1:8" ht="15.75">
      <c r="A135" s="5">
        <f t="shared" si="2"/>
        <v>119</v>
      </c>
      <c r="B135" s="59" t="s">
        <v>25</v>
      </c>
      <c r="C135" s="218">
        <f>'Distrib System Determinants'!D64</f>
        <v>180750.89336739367</v>
      </c>
      <c r="D135" s="88">
        <f>('Distrib Marginal Revenues'!D54*(1-$L$32)+'Distrib Marginal Revenues'!D65*(1-$L$33))/'Distrib Class EPMC Rates &amp; Rev'!C135*1000</f>
        <v>4.753265220572437</v>
      </c>
      <c r="E135" s="88">
        <f>D135*$C$160</f>
        <v>10.473411203679545</v>
      </c>
      <c r="F135" s="92">
        <f>E135*C135/1000</f>
        <v>1893.0784316691477</v>
      </c>
      <c r="G135" s="5">
        <f t="shared" si="3"/>
        <v>119</v>
      </c>
      <c r="H135" s="4"/>
    </row>
    <row r="136" spans="1:8" ht="15.75">
      <c r="A136" s="5">
        <f t="shared" si="2"/>
        <v>120</v>
      </c>
      <c r="B136" s="59" t="s">
        <v>2</v>
      </c>
      <c r="C136" s="29">
        <f>SUM(C134:C135)</f>
        <v>1657683.1117160905</v>
      </c>
      <c r="D136" s="86">
        <f>('Distrib Marginal Revenues'!F54*(1-$L$32)+'Distrib Marginal Revenues'!F65*(1-$L$33))/'Distrib Class EPMC Rates &amp; Rev'!C136*1000</f>
        <v>4.775192026119224</v>
      </c>
      <c r="E136" s="86">
        <f>D136*$C$160</f>
        <v>10.521725034323937</v>
      </c>
      <c r="F136" s="91">
        <f>E136*C136/1000</f>
        <v>17441.685895519193</v>
      </c>
      <c r="G136" s="5">
        <f t="shared" si="3"/>
        <v>120</v>
      </c>
      <c r="H136" s="4"/>
    </row>
    <row r="137" spans="1:8" ht="15.75">
      <c r="A137" s="5">
        <f t="shared" si="2"/>
        <v>121</v>
      </c>
      <c r="B137" s="59"/>
      <c r="C137" s="14"/>
      <c r="D137" s="86"/>
      <c r="E137" s="86"/>
      <c r="F137" s="91"/>
      <c r="G137" s="5">
        <f t="shared" si="3"/>
        <v>121</v>
      </c>
      <c r="H137" s="4"/>
    </row>
    <row r="138" spans="1:8" ht="15.75">
      <c r="A138" s="5">
        <f t="shared" si="2"/>
        <v>122</v>
      </c>
      <c r="B138" s="268" t="s">
        <v>44</v>
      </c>
      <c r="C138" s="16"/>
      <c r="D138" s="16"/>
      <c r="E138" s="14"/>
      <c r="F138" s="93"/>
      <c r="G138" s="5">
        <f t="shared" si="3"/>
        <v>122</v>
      </c>
      <c r="H138" s="4"/>
    </row>
    <row r="139" spans="1:8" ht="15.75">
      <c r="A139" s="5">
        <f t="shared" si="2"/>
        <v>123</v>
      </c>
      <c r="B139" s="59" t="s">
        <v>98</v>
      </c>
      <c r="C139" s="14">
        <f>'Distrib System Determinants'!C45*12</f>
        <v>3288</v>
      </c>
      <c r="D139" s="86">
        <f>'Distrib Marginal Revenues'!F40/'Distrib Class EPMC Rates &amp; Rev'!C139*1000</f>
        <v>0.6364839762244314</v>
      </c>
      <c r="E139" s="86">
        <f>D139*$C$160</f>
        <v>1.4024377134900665</v>
      </c>
      <c r="F139" s="91">
        <f>E139*C139/1000</f>
        <v>4.611215201955338</v>
      </c>
      <c r="G139" s="5">
        <f t="shared" si="3"/>
        <v>123</v>
      </c>
      <c r="H139" s="4"/>
    </row>
    <row r="140" spans="1:8" ht="15.75">
      <c r="A140" s="5">
        <f t="shared" si="2"/>
        <v>124</v>
      </c>
      <c r="B140" s="59" t="s">
        <v>148</v>
      </c>
      <c r="C140" s="14">
        <f>'Distrib System Determinants'!C55</f>
        <v>1051.5945246956842</v>
      </c>
      <c r="D140" s="86">
        <f>('Distrib Marginal Revenues'!F55*$L$32+'Distrib Marginal Revenues'!F66*$L$33)/'Distrib Class EPMC Rates &amp; Rev'!C140*1000</f>
        <v>0.27371658784269837</v>
      </c>
      <c r="E140" s="86">
        <f>D140*$C$160</f>
        <v>0.603110965770896</v>
      </c>
      <c r="F140" s="91">
        <f>E140*C140/1000</f>
        <v>0.6342281893886004</v>
      </c>
      <c r="G140" s="5">
        <f t="shared" si="3"/>
        <v>124</v>
      </c>
      <c r="H140" s="4"/>
    </row>
    <row r="141" spans="1:8" ht="15.75">
      <c r="A141" s="5">
        <f t="shared" si="2"/>
        <v>125</v>
      </c>
      <c r="B141" s="59" t="s">
        <v>128</v>
      </c>
      <c r="C141" s="218">
        <f>'Distrib System Determinants'!C65</f>
        <v>1051.5945246956842</v>
      </c>
      <c r="D141" s="88">
        <f>('Distrib Marginal Revenues'!F55*(1-$L$32)+'Distrib Marginal Revenues'!F66*(1-$L$33))/'Distrib Class EPMC Rates &amp; Rev'!C141*1000</f>
        <v>4.777875486905059</v>
      </c>
      <c r="E141" s="88">
        <f>D141*$C$160</f>
        <v>10.527637809427958</v>
      </c>
      <c r="F141" s="92">
        <f>E141*C141/1000</f>
        <v>11.070806278373707</v>
      </c>
      <c r="G141" s="5">
        <f t="shared" si="3"/>
        <v>125</v>
      </c>
      <c r="H141" s="4"/>
    </row>
    <row r="142" spans="1:8" ht="15.75">
      <c r="A142" s="5">
        <f t="shared" si="2"/>
        <v>126</v>
      </c>
      <c r="B142" s="59" t="s">
        <v>91</v>
      </c>
      <c r="C142" s="59"/>
      <c r="D142" s="59"/>
      <c r="E142" s="14"/>
      <c r="F142" s="91">
        <f>SUM(F139:F141)</f>
        <v>16.316249669717646</v>
      </c>
      <c r="G142" s="5">
        <f t="shared" si="3"/>
        <v>126</v>
      </c>
      <c r="H142" s="4"/>
    </row>
    <row r="143" spans="1:8" ht="15.75">
      <c r="A143" s="5">
        <f t="shared" si="2"/>
        <v>127</v>
      </c>
      <c r="B143" s="59"/>
      <c r="C143" s="14"/>
      <c r="D143" s="86"/>
      <c r="E143" s="86"/>
      <c r="F143" s="91"/>
      <c r="G143" s="5">
        <f t="shared" si="3"/>
        <v>127</v>
      </c>
      <c r="H143" s="4"/>
    </row>
    <row r="144" spans="1:8" ht="15.75">
      <c r="A144" s="5">
        <f t="shared" si="2"/>
        <v>128</v>
      </c>
      <c r="B144" s="59" t="s">
        <v>155</v>
      </c>
      <c r="C144" s="14"/>
      <c r="D144" s="86"/>
      <c r="E144" s="86"/>
      <c r="F144" s="91">
        <f>F121+F126+F131+F136+F142</f>
        <v>23318.606101636735</v>
      </c>
      <c r="G144" s="5">
        <f t="shared" si="3"/>
        <v>128</v>
      </c>
      <c r="H144" s="4"/>
    </row>
    <row r="145" spans="1:8" ht="15.75">
      <c r="A145" s="5">
        <f t="shared" si="2"/>
        <v>129</v>
      </c>
      <c r="B145" s="28"/>
      <c r="C145" s="18"/>
      <c r="D145" s="18"/>
      <c r="E145" s="14"/>
      <c r="F145" s="93"/>
      <c r="G145" s="5">
        <f t="shared" si="3"/>
        <v>129</v>
      </c>
      <c r="H145" s="4"/>
    </row>
    <row r="146" spans="1:8" ht="15.75">
      <c r="A146" s="5">
        <f t="shared" si="2"/>
        <v>130</v>
      </c>
      <c r="B146" s="28" t="s">
        <v>72</v>
      </c>
      <c r="C146" s="28"/>
      <c r="D146" s="175"/>
      <c r="E146" s="14"/>
      <c r="F146" s="95"/>
      <c r="G146" s="5">
        <f t="shared" si="3"/>
        <v>130</v>
      </c>
      <c r="H146" s="85"/>
    </row>
    <row r="147" spans="1:8" ht="15.75">
      <c r="A147" s="5">
        <f>A146+1</f>
        <v>131</v>
      </c>
      <c r="B147" s="59" t="s">
        <v>56</v>
      </c>
      <c r="C147" s="14"/>
      <c r="D147" s="86"/>
      <c r="E147" s="18"/>
      <c r="F147" s="91">
        <f>F18+F30+F37+F57+F63+F69+F90+F95+F121+F126+F139+F110</f>
        <v>583848.6024586987</v>
      </c>
      <c r="G147" s="5">
        <f>G146+1</f>
        <v>131</v>
      </c>
      <c r="H147" s="29"/>
    </row>
    <row r="148" spans="1:8" ht="15.75">
      <c r="A148" s="5">
        <f>A147+1</f>
        <v>132</v>
      </c>
      <c r="B148" s="59" t="s">
        <v>148</v>
      </c>
      <c r="C148" s="14"/>
      <c r="D148" s="86"/>
      <c r="E148" s="18"/>
      <c r="F148" s="91">
        <f>F19+F42+F75+F100+F131+F140+F111</f>
        <v>53703.62231913302</v>
      </c>
      <c r="G148" s="5">
        <f>G147+1</f>
        <v>132</v>
      </c>
      <c r="H148" s="29"/>
    </row>
    <row r="149" spans="1:8" ht="15.75">
      <c r="A149" s="5">
        <f>A148+1</f>
        <v>133</v>
      </c>
      <c r="B149" s="59" t="s">
        <v>128</v>
      </c>
      <c r="C149" s="62"/>
      <c r="D149" s="62"/>
      <c r="E149" s="18"/>
      <c r="F149" s="92">
        <f>F20+F47+F81+F105+F136+F141+F112</f>
        <v>936252.0240500909</v>
      </c>
      <c r="G149" s="5">
        <f>G148+1</f>
        <v>133</v>
      </c>
      <c r="H149" s="29"/>
    </row>
    <row r="150" spans="1:7" ht="15.75">
      <c r="A150" s="5">
        <f>A149+1</f>
        <v>134</v>
      </c>
      <c r="B150" s="59" t="s">
        <v>92</v>
      </c>
      <c r="E150" s="14"/>
      <c r="F150" s="91">
        <f>SUM(F147:F149)</f>
        <v>1573804.2488279226</v>
      </c>
      <c r="G150" s="5">
        <f>G149+1</f>
        <v>134</v>
      </c>
    </row>
    <row r="151" spans="3:6" ht="12.75">
      <c r="C151" s="26"/>
      <c r="D151" s="26"/>
      <c r="E151" s="77"/>
      <c r="F151" s="26"/>
    </row>
    <row r="152" spans="2:4" ht="15">
      <c r="B152" s="58" t="s">
        <v>42</v>
      </c>
      <c r="C152" s="96">
        <f>'Distrib Revenue Allocation'!C32</f>
        <v>1588810.5963073699</v>
      </c>
      <c r="D152" s="147"/>
    </row>
    <row r="153" spans="2:4" ht="17.25">
      <c r="B153" s="66" t="s">
        <v>41</v>
      </c>
      <c r="C153" s="97">
        <f>'Distrib Revenue Allocation'!D30</f>
        <v>15006.347479447511</v>
      </c>
      <c r="D153" s="148"/>
    </row>
    <row r="154" spans="2:4" ht="15">
      <c r="B154" s="66" t="s">
        <v>43</v>
      </c>
      <c r="C154" s="98">
        <f>C152-C153</f>
        <v>1573804.2488279224</v>
      </c>
      <c r="D154" s="147"/>
    </row>
    <row r="155" spans="2:4" ht="12.75">
      <c r="B155" s="99" t="s">
        <v>22</v>
      </c>
      <c r="C155" s="100"/>
      <c r="D155" s="149"/>
    </row>
    <row r="156" spans="2:4" ht="15">
      <c r="B156" s="101" t="s">
        <v>28</v>
      </c>
      <c r="C156" s="102">
        <f>'Distrib Marginal Revenues'!F43</f>
        <v>264974.534292301</v>
      </c>
      <c r="D156" s="150"/>
    </row>
    <row r="157" spans="2:4" ht="17.25">
      <c r="B157" s="101" t="s">
        <v>66</v>
      </c>
      <c r="C157" s="137">
        <f>'Distrib Allocation Factors'!E29</f>
        <v>449282.6312541785</v>
      </c>
      <c r="D157" s="151"/>
    </row>
    <row r="158" spans="2:4" ht="15">
      <c r="B158" s="101" t="s">
        <v>29</v>
      </c>
      <c r="C158" s="98">
        <f>SUM(C156:C157)</f>
        <v>714257.1655464794</v>
      </c>
      <c r="D158" s="147"/>
    </row>
    <row r="159" spans="2:4" ht="12.75">
      <c r="B159" s="99"/>
      <c r="C159" s="100"/>
      <c r="D159" s="149"/>
    </row>
    <row r="160" spans="2:5" ht="15">
      <c r="B160" s="103" t="s">
        <v>59</v>
      </c>
      <c r="C160" s="104">
        <f>C154/C158</f>
        <v>2.2034140149280854</v>
      </c>
      <c r="D160" s="152"/>
      <c r="E160" s="204"/>
    </row>
    <row r="162" ht="12.75">
      <c r="A162" s="130" t="s">
        <v>35</v>
      </c>
    </row>
    <row r="163" ht="12.75">
      <c r="B163" s="122" t="s">
        <v>140</v>
      </c>
    </row>
    <row r="164" ht="12.75">
      <c r="B164" s="122" t="s">
        <v>139</v>
      </c>
    </row>
    <row r="165" ht="12.75">
      <c r="B165" s="122" t="s">
        <v>135</v>
      </c>
    </row>
    <row r="166" ht="12.75">
      <c r="B166" s="122" t="s">
        <v>134</v>
      </c>
    </row>
    <row r="167" ht="12.75">
      <c r="B167" s="122" t="s">
        <v>136</v>
      </c>
    </row>
    <row r="168" ht="12.75">
      <c r="B168" s="122" t="s">
        <v>164</v>
      </c>
    </row>
    <row r="169" ht="12.75">
      <c r="B169" s="146" t="s">
        <v>137</v>
      </c>
    </row>
    <row r="170" ht="12.75">
      <c r="B170" s="122" t="s">
        <v>138</v>
      </c>
    </row>
    <row r="171" spans="2:6" ht="12.75">
      <c r="B171" s="240"/>
      <c r="C171" s="241"/>
      <c r="D171" s="241"/>
      <c r="E171" s="241"/>
      <c r="F171" s="241"/>
    </row>
    <row r="172" spans="2:6" ht="12.75">
      <c r="B172" s="240"/>
      <c r="C172" s="241"/>
      <c r="D172" s="241"/>
      <c r="E172" s="241"/>
      <c r="F172" s="241"/>
    </row>
  </sheetData>
  <sheetProtection/>
  <mergeCells count="6">
    <mergeCell ref="A4:G4"/>
    <mergeCell ref="A5:G5"/>
    <mergeCell ref="A6:G6"/>
    <mergeCell ref="A8:G8"/>
    <mergeCell ref="A1:G1"/>
    <mergeCell ref="A2:G2"/>
  </mergeCells>
  <printOptions horizontalCentered="1"/>
  <pageMargins left="0.4" right="0.4" top="1" bottom="0.75" header="0.5" footer="0.5"/>
  <pageSetup horizontalDpi="600" verticalDpi="600" orientation="portrait" scale="53" r:id="rId1"/>
  <headerFooter alignWithMargins="0">
    <oddFooter>&amp;L&amp;F
&amp;A&amp;R&amp;P of &amp;N</oddFooter>
  </headerFooter>
  <rowBreaks count="1" manualBreakCount="1">
    <brk id="83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R60"/>
  <sheetViews>
    <sheetView workbookViewId="0" topLeftCell="A1">
      <selection activeCell="B20" sqref="B20"/>
    </sheetView>
  </sheetViews>
  <sheetFormatPr defaultColWidth="9.140625" defaultRowHeight="12.75"/>
  <cols>
    <col min="1" max="1" width="7.28125" style="0" bestFit="1" customWidth="1"/>
    <col min="2" max="2" width="80.7109375" style="0" customWidth="1"/>
    <col min="3" max="3" width="14.140625" style="0" bestFit="1" customWidth="1"/>
    <col min="4" max="4" width="16.28125" style="0" bestFit="1" customWidth="1"/>
    <col min="5" max="6" width="16.00390625" style="0" bestFit="1" customWidth="1"/>
    <col min="7" max="7" width="16.00390625" style="0" customWidth="1"/>
    <col min="8" max="8" width="0.85546875" style="0" customWidth="1"/>
    <col min="9" max="10" width="25.7109375" style="0" customWidth="1"/>
    <col min="11" max="11" width="0.85546875" style="0" customWidth="1"/>
    <col min="12" max="13" width="30.7109375" style="0" customWidth="1"/>
    <col min="14" max="14" width="7.28125" style="0" customWidth="1"/>
    <col min="16" max="16" width="11.28125" style="0" bestFit="1" customWidth="1"/>
    <col min="22" max="22" width="9.8515625" style="0" bestFit="1" customWidth="1"/>
  </cols>
  <sheetData>
    <row r="1" spans="1:14" ht="15.75">
      <c r="A1" s="327"/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</row>
    <row r="2" spans="1:14" ht="15.75">
      <c r="A2" s="328"/>
      <c r="B2" s="328"/>
      <c r="C2" s="328"/>
      <c r="D2" s="328"/>
      <c r="E2" s="328"/>
      <c r="F2" s="328"/>
      <c r="G2" s="328"/>
      <c r="H2" s="328"/>
      <c r="I2" s="328"/>
      <c r="J2" s="328"/>
      <c r="K2" s="328"/>
      <c r="L2" s="328"/>
      <c r="M2" s="328"/>
      <c r="N2" s="328"/>
    </row>
    <row r="4" spans="1:14" ht="15.75">
      <c r="A4" s="326" t="str">
        <f>'Distrib Class EPMC Rates &amp; Rev'!A4:G4</f>
        <v>SAN DIEGO GAS &amp; ELECTRIC COMPANY ("SDG&amp;E")</v>
      </c>
      <c r="B4" s="326"/>
      <c r="C4" s="326"/>
      <c r="D4" s="326"/>
      <c r="E4" s="326"/>
      <c r="F4" s="326"/>
      <c r="G4" s="326"/>
      <c r="H4" s="326"/>
      <c r="I4" s="326"/>
      <c r="J4" s="326"/>
      <c r="K4" s="326"/>
      <c r="L4" s="326"/>
      <c r="M4" s="326"/>
      <c r="N4" s="326"/>
    </row>
    <row r="5" spans="1:14" ht="15.75">
      <c r="A5" s="326" t="str">
        <f>'Distrib Class EPMC Rates &amp; Rev'!A5:G5</f>
        <v>TEST YEAR ("TY") 2019 GENERAL RATE CASE ("GRC") PHASE 2, APPLICATION ("A.") 19-03-002</v>
      </c>
      <c r="B5" s="326"/>
      <c r="C5" s="326"/>
      <c r="D5" s="326"/>
      <c r="E5" s="326"/>
      <c r="F5" s="326"/>
      <c r="G5" s="326"/>
      <c r="H5" s="326"/>
      <c r="I5" s="326"/>
      <c r="J5" s="326"/>
      <c r="K5" s="326"/>
      <c r="L5" s="326"/>
      <c r="M5" s="326"/>
      <c r="N5" s="326"/>
    </row>
    <row r="6" spans="1:14" ht="15.75">
      <c r="A6" s="326" t="str">
        <f>'Distrib Class EPMC Rates &amp; Rev'!A6:G6</f>
        <v>DISTRIBUTION REVENUE ALLOCATION WORKPAPERS - CHAPTER 5 (SAXE) - REVISED</v>
      </c>
      <c r="B6" s="326"/>
      <c r="C6" s="326"/>
      <c r="D6" s="326"/>
      <c r="E6" s="326"/>
      <c r="F6" s="326"/>
      <c r="G6" s="326"/>
      <c r="H6" s="326"/>
      <c r="I6" s="326"/>
      <c r="J6" s="326"/>
      <c r="K6" s="326"/>
      <c r="L6" s="326"/>
      <c r="M6" s="326"/>
      <c r="N6" s="326"/>
    </row>
    <row r="7" spans="1:13" ht="15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4" ht="15.75">
      <c r="A8" s="326" t="s">
        <v>63</v>
      </c>
      <c r="B8" s="326"/>
      <c r="C8" s="326"/>
      <c r="D8" s="326"/>
      <c r="E8" s="326"/>
      <c r="F8" s="326"/>
      <c r="G8" s="326"/>
      <c r="H8" s="326"/>
      <c r="I8" s="326"/>
      <c r="J8" s="326"/>
      <c r="K8" s="326"/>
      <c r="L8" s="326"/>
      <c r="M8" s="326"/>
      <c r="N8" s="326"/>
    </row>
    <row r="9" spans="1:14" ht="16.5" thickBot="1">
      <c r="A9" s="1"/>
      <c r="B9" s="1"/>
      <c r="C9" s="1"/>
      <c r="D9" s="1"/>
      <c r="E9" s="1"/>
      <c r="F9" s="1"/>
      <c r="G9" s="1"/>
      <c r="H9" s="1"/>
      <c r="N9" s="1"/>
    </row>
    <row r="10" spans="2:14" ht="19.5" thickBot="1">
      <c r="B10" s="1"/>
      <c r="C10" s="331" t="s">
        <v>175</v>
      </c>
      <c r="D10" s="331"/>
      <c r="E10" s="331"/>
      <c r="F10" s="331"/>
      <c r="G10" s="291"/>
      <c r="H10" s="105"/>
      <c r="I10" s="332" t="s">
        <v>176</v>
      </c>
      <c r="J10" s="333"/>
      <c r="K10" s="1"/>
      <c r="L10" s="332" t="s">
        <v>177</v>
      </c>
      <c r="M10" s="333"/>
      <c r="N10" s="1"/>
    </row>
    <row r="11" spans="2:14" ht="15.75">
      <c r="B11" s="3"/>
      <c r="C11" s="3"/>
      <c r="D11" s="3"/>
      <c r="E11" s="3"/>
      <c r="F11" s="329"/>
      <c r="G11" s="330"/>
      <c r="H11" s="3"/>
      <c r="I11" s="280"/>
      <c r="J11" s="285"/>
      <c r="K11" s="3"/>
      <c r="L11" s="280"/>
      <c r="M11" s="285"/>
      <c r="N11" s="4"/>
    </row>
    <row r="12" spans="2:14" ht="15.75">
      <c r="B12" s="3"/>
      <c r="C12" s="3" t="s">
        <v>0</v>
      </c>
      <c r="D12" s="3" t="s">
        <v>4</v>
      </c>
      <c r="E12" s="3" t="s">
        <v>1</v>
      </c>
      <c r="F12" s="329" t="s">
        <v>172</v>
      </c>
      <c r="G12" s="330"/>
      <c r="H12" s="3"/>
      <c r="I12" s="280" t="s">
        <v>34</v>
      </c>
      <c r="J12" s="285"/>
      <c r="K12" s="3"/>
      <c r="L12" s="280" t="s">
        <v>169</v>
      </c>
      <c r="M12" s="285"/>
      <c r="N12" s="4"/>
    </row>
    <row r="13" spans="2:14" ht="15.75">
      <c r="B13" s="3"/>
      <c r="C13" s="3" t="s">
        <v>8</v>
      </c>
      <c r="D13" s="3" t="s">
        <v>0</v>
      </c>
      <c r="E13" s="3" t="s">
        <v>0</v>
      </c>
      <c r="F13" s="329" t="s">
        <v>67</v>
      </c>
      <c r="G13" s="330"/>
      <c r="H13" s="3"/>
      <c r="I13" s="280" t="s">
        <v>67</v>
      </c>
      <c r="J13" s="285" t="s">
        <v>6</v>
      </c>
      <c r="K13" s="3"/>
      <c r="L13" s="280" t="s">
        <v>170</v>
      </c>
      <c r="M13" s="285" t="s">
        <v>6</v>
      </c>
      <c r="N13" s="4"/>
    </row>
    <row r="14" spans="3:14" ht="15.75">
      <c r="C14" s="3" t="s">
        <v>7</v>
      </c>
      <c r="D14" s="3" t="s">
        <v>5</v>
      </c>
      <c r="E14" s="3" t="s">
        <v>5</v>
      </c>
      <c r="F14" s="329" t="s">
        <v>171</v>
      </c>
      <c r="G14" s="330"/>
      <c r="H14" s="3"/>
      <c r="I14" s="280" t="s">
        <v>171</v>
      </c>
      <c r="J14" s="285" t="s">
        <v>9</v>
      </c>
      <c r="K14" s="3"/>
      <c r="L14" s="280" t="s">
        <v>171</v>
      </c>
      <c r="M14" s="285" t="s">
        <v>9</v>
      </c>
      <c r="N14" s="3"/>
    </row>
    <row r="15" spans="1:14" ht="15.75">
      <c r="A15" s="5" t="s">
        <v>10</v>
      </c>
      <c r="B15" s="3" t="s">
        <v>14</v>
      </c>
      <c r="C15" s="6" t="s">
        <v>11</v>
      </c>
      <c r="D15" s="7" t="s">
        <v>12</v>
      </c>
      <c r="E15" s="7" t="s">
        <v>12</v>
      </c>
      <c r="F15" s="281" t="s">
        <v>12</v>
      </c>
      <c r="G15" s="286" t="s">
        <v>11</v>
      </c>
      <c r="H15" s="279"/>
      <c r="I15" s="281" t="s">
        <v>12</v>
      </c>
      <c r="J15" s="285" t="s">
        <v>11</v>
      </c>
      <c r="K15" s="3"/>
      <c r="L15" s="281" t="s">
        <v>12</v>
      </c>
      <c r="M15" s="285" t="s">
        <v>11</v>
      </c>
      <c r="N15" s="5" t="s">
        <v>10</v>
      </c>
    </row>
    <row r="16" spans="1:14" ht="16.5" thickBot="1">
      <c r="A16" s="8" t="s">
        <v>13</v>
      </c>
      <c r="B16" s="9" t="s">
        <v>15</v>
      </c>
      <c r="C16" s="10" t="s">
        <v>16</v>
      </c>
      <c r="D16" s="10" t="s">
        <v>17</v>
      </c>
      <c r="E16" s="10" t="s">
        <v>18</v>
      </c>
      <c r="F16" s="282" t="s">
        <v>19</v>
      </c>
      <c r="G16" s="287" t="s">
        <v>20</v>
      </c>
      <c r="H16" s="9"/>
      <c r="I16" s="292" t="s">
        <v>21</v>
      </c>
      <c r="J16" s="293" t="s">
        <v>166</v>
      </c>
      <c r="K16" s="10"/>
      <c r="L16" s="292" t="s">
        <v>167</v>
      </c>
      <c r="M16" s="293" t="s">
        <v>168</v>
      </c>
      <c r="N16" s="8" t="s">
        <v>13</v>
      </c>
    </row>
    <row r="17" spans="1:14" ht="15.75">
      <c r="A17" s="5"/>
      <c r="B17" s="3"/>
      <c r="C17" s="11"/>
      <c r="D17" s="11"/>
      <c r="E17" s="11"/>
      <c r="F17" s="280"/>
      <c r="G17" s="285"/>
      <c r="H17" s="3"/>
      <c r="I17" s="294"/>
      <c r="J17" s="295"/>
      <c r="K17" s="11"/>
      <c r="L17" s="302"/>
      <c r="M17" s="303"/>
      <c r="N17" s="5"/>
    </row>
    <row r="18" spans="1:18" ht="15.75">
      <c r="A18" s="5">
        <v>1</v>
      </c>
      <c r="B18" s="28" t="s">
        <v>31</v>
      </c>
      <c r="C18" s="13">
        <f>'Distrib Allocation Factors'!H17</f>
        <v>0.5085366248779521</v>
      </c>
      <c r="D18" s="94"/>
      <c r="E18" s="94">
        <f>$E$30*C18</f>
        <v>800337.1009175325</v>
      </c>
      <c r="F18" s="283">
        <f>D18+E18</f>
        <v>800337.1009175325</v>
      </c>
      <c r="G18" s="288">
        <f>F18/$F$30</f>
        <v>0.5037334864065194</v>
      </c>
      <c r="H18" s="106"/>
      <c r="I18" s="283">
        <f>'Distrib Revenue Requirement'!C16</f>
        <v>702272.2648028512</v>
      </c>
      <c r="J18" s="296">
        <f>F18/I18-1</f>
        <v>0.1396393407935752</v>
      </c>
      <c r="K18" s="13"/>
      <c r="L18" s="304">
        <v>771661.7923390004</v>
      </c>
      <c r="M18" s="296">
        <f>F18/L18-1</f>
        <v>0.0371604618282495</v>
      </c>
      <c r="N18" s="5">
        <v>1</v>
      </c>
      <c r="O18" s="135"/>
      <c r="Q18" s="204"/>
      <c r="R18" s="204"/>
    </row>
    <row r="19" spans="1:17" ht="15.75">
      <c r="A19" s="5">
        <f>A18+1</f>
        <v>2</v>
      </c>
      <c r="B19" s="28"/>
      <c r="C19" s="18"/>
      <c r="D19" s="94"/>
      <c r="E19" s="94"/>
      <c r="F19" s="283"/>
      <c r="G19" s="288"/>
      <c r="H19" s="106"/>
      <c r="I19" s="283"/>
      <c r="J19" s="297"/>
      <c r="K19" s="18"/>
      <c r="L19" s="306"/>
      <c r="M19" s="305"/>
      <c r="N19" s="5">
        <f>N18+1</f>
        <v>2</v>
      </c>
      <c r="Q19" s="204"/>
    </row>
    <row r="20" spans="1:17" ht="15.75">
      <c r="A20" s="5">
        <f aca="true" t="shared" si="0" ref="A20:A39">A19+1</f>
        <v>3</v>
      </c>
      <c r="B20" s="28" t="s">
        <v>38</v>
      </c>
      <c r="C20" s="13">
        <f>'Distrib Allocation Factors'!H19</f>
        <v>0.14225196986373756</v>
      </c>
      <c r="D20" s="94"/>
      <c r="E20" s="94">
        <f>$E$30*C20</f>
        <v>223876.75457569174</v>
      </c>
      <c r="F20" s="283">
        <f>D20+E20</f>
        <v>223876.75457569174</v>
      </c>
      <c r="G20" s="288">
        <f aca="true" t="shared" si="1" ref="G20:G28">F20/$F$30</f>
        <v>0.14090839719725834</v>
      </c>
      <c r="H20" s="106"/>
      <c r="I20" s="283">
        <f>'Distrib Revenue Requirement'!C18</f>
        <v>250682.90884033983</v>
      </c>
      <c r="J20" s="296">
        <f>F20/I20-1</f>
        <v>-0.10693251641547274</v>
      </c>
      <c r="K20" s="13"/>
      <c r="L20" s="304">
        <v>251327.95767581952</v>
      </c>
      <c r="M20" s="296">
        <f>F20/L20-1</f>
        <v>-0.1092246296591336</v>
      </c>
      <c r="N20" s="5">
        <f aca="true" t="shared" si="2" ref="N20:N39">N19+1</f>
        <v>3</v>
      </c>
      <c r="O20" s="135"/>
      <c r="Q20" s="204"/>
    </row>
    <row r="21" spans="1:17" ht="15.75">
      <c r="A21" s="5">
        <f t="shared" si="0"/>
        <v>4</v>
      </c>
      <c r="B21" s="28"/>
      <c r="C21" s="18"/>
      <c r="D21" s="94"/>
      <c r="E21" s="94"/>
      <c r="F21" s="283"/>
      <c r="G21" s="288"/>
      <c r="H21" s="106"/>
      <c r="I21" s="283"/>
      <c r="J21" s="297"/>
      <c r="K21" s="18"/>
      <c r="L21" s="306"/>
      <c r="M21" s="305"/>
      <c r="N21" s="5">
        <f t="shared" si="2"/>
        <v>4</v>
      </c>
      <c r="Q21" s="204"/>
    </row>
    <row r="22" spans="1:17" ht="15.75">
      <c r="A22" s="5">
        <f t="shared" si="0"/>
        <v>5</v>
      </c>
      <c r="B22" s="70" t="s">
        <v>46</v>
      </c>
      <c r="C22" s="13">
        <f>'Distrib Allocation Factors'!H21</f>
        <v>0.3193881394862858</v>
      </c>
      <c r="D22" s="94">
        <f>C37+C38</f>
        <v>11553.834719999999</v>
      </c>
      <c r="E22" s="94">
        <f>$E$30*C22</f>
        <v>502654.41094876174</v>
      </c>
      <c r="F22" s="283">
        <f>D22+E22</f>
        <v>514208.2456687617</v>
      </c>
      <c r="G22" s="288">
        <f t="shared" si="1"/>
        <v>0.32364351475491004</v>
      </c>
      <c r="H22" s="106"/>
      <c r="I22" s="283">
        <f>'Distrib Revenue Requirement'!C20</f>
        <v>604747.7178511656</v>
      </c>
      <c r="J22" s="296">
        <f>F22/I22-1</f>
        <v>-0.14971445035644848</v>
      </c>
      <c r="K22" s="13"/>
      <c r="L22" s="304">
        <v>533843.3965174971</v>
      </c>
      <c r="M22" s="296">
        <f>F22/L22-1</f>
        <v>-0.03678073190906628</v>
      </c>
      <c r="N22" s="5">
        <f t="shared" si="2"/>
        <v>5</v>
      </c>
      <c r="O22" s="135"/>
      <c r="Q22" s="204"/>
    </row>
    <row r="23" spans="1:17" ht="15.75">
      <c r="A23" s="5">
        <f t="shared" si="0"/>
        <v>6</v>
      </c>
      <c r="B23" s="28"/>
      <c r="C23" s="18"/>
      <c r="D23" s="94"/>
      <c r="E23" s="94"/>
      <c r="F23" s="283"/>
      <c r="G23" s="288"/>
      <c r="H23" s="106"/>
      <c r="I23" s="283"/>
      <c r="J23" s="298"/>
      <c r="K23" s="208"/>
      <c r="L23" s="307"/>
      <c r="M23" s="305"/>
      <c r="N23" s="5">
        <f t="shared" si="2"/>
        <v>6</v>
      </c>
      <c r="Q23" s="204"/>
    </row>
    <row r="24" spans="1:17" ht="15.75">
      <c r="A24" s="5">
        <f t="shared" si="0"/>
        <v>7</v>
      </c>
      <c r="B24" s="28" t="s">
        <v>39</v>
      </c>
      <c r="C24" s="13">
        <f>'Distrib Allocation Factors'!H23</f>
        <v>0.011941107326732009</v>
      </c>
      <c r="D24" s="94"/>
      <c r="E24" s="94">
        <f>$E$30*C24</f>
        <v>18792.96544652107</v>
      </c>
      <c r="F24" s="283">
        <f>D24+E24</f>
        <v>18792.96544652107</v>
      </c>
      <c r="G24" s="288">
        <f t="shared" si="1"/>
        <v>0.011828323332056504</v>
      </c>
      <c r="H24" s="106"/>
      <c r="I24" s="283">
        <f>'Distrib Revenue Requirement'!C22</f>
        <v>20765.33115053256</v>
      </c>
      <c r="J24" s="296">
        <f>F24/I24-1</f>
        <v>-0.09498359018276015</v>
      </c>
      <c r="K24" s="13"/>
      <c r="L24" s="304">
        <v>19578.12022913786</v>
      </c>
      <c r="M24" s="296">
        <f>F24/L24-1</f>
        <v>-0.040103685820064405</v>
      </c>
      <c r="N24" s="5">
        <f t="shared" si="2"/>
        <v>7</v>
      </c>
      <c r="O24" s="135"/>
      <c r="Q24" s="204"/>
    </row>
    <row r="25" spans="1:17" ht="15.75">
      <c r="A25" s="5">
        <f t="shared" si="0"/>
        <v>8</v>
      </c>
      <c r="B25" s="28"/>
      <c r="C25" s="13"/>
      <c r="D25" s="94"/>
      <c r="E25" s="94"/>
      <c r="F25" s="283"/>
      <c r="G25" s="288"/>
      <c r="H25" s="106"/>
      <c r="I25" s="283"/>
      <c r="J25" s="297"/>
      <c r="K25" s="18"/>
      <c r="L25" s="306"/>
      <c r="M25" s="305"/>
      <c r="N25" s="5">
        <f t="shared" si="2"/>
        <v>8</v>
      </c>
      <c r="Q25" s="204"/>
    </row>
    <row r="26" spans="1:17" ht="15.75">
      <c r="A26" s="5">
        <f t="shared" si="0"/>
        <v>9</v>
      </c>
      <c r="B26" s="28" t="s">
        <v>44</v>
      </c>
      <c r="C26" s="13">
        <f>'Distrib Allocation Factors'!H25</f>
        <v>0.00306544530005645</v>
      </c>
      <c r="D26" s="94">
        <f>C35</f>
        <v>3398.5941493433756</v>
      </c>
      <c r="E26" s="94">
        <f>$E$30*C26</f>
        <v>4824.410837778427</v>
      </c>
      <c r="F26" s="283">
        <f>D26+E26</f>
        <v>8223.004987121803</v>
      </c>
      <c r="G26" s="288">
        <f t="shared" si="1"/>
        <v>0.005175572850680427</v>
      </c>
      <c r="H26" s="106"/>
      <c r="I26" s="283">
        <f>'Distrib Revenue Requirement'!C24</f>
        <v>10342.37366248078</v>
      </c>
      <c r="J26" s="296">
        <f>F26/I26-1</f>
        <v>-0.20492091511327326</v>
      </c>
      <c r="K26" s="13"/>
      <c r="L26" s="304">
        <v>12399.329545914983</v>
      </c>
      <c r="M26" s="296">
        <f>F26/L26-1</f>
        <v>-0.3368185790472106</v>
      </c>
      <c r="N26" s="5">
        <f t="shared" si="2"/>
        <v>9</v>
      </c>
      <c r="P26" s="204"/>
      <c r="Q26" s="204"/>
    </row>
    <row r="27" spans="1:17" ht="15.75">
      <c r="A27" s="5">
        <f t="shared" si="0"/>
        <v>10</v>
      </c>
      <c r="B27" s="28"/>
      <c r="C27" s="13"/>
      <c r="D27" s="94"/>
      <c r="E27" s="94"/>
      <c r="F27" s="283"/>
      <c r="G27" s="288"/>
      <c r="H27" s="106"/>
      <c r="I27" s="283"/>
      <c r="J27" s="297"/>
      <c r="K27" s="18"/>
      <c r="L27" s="306"/>
      <c r="M27" s="305"/>
      <c r="N27" s="5">
        <f t="shared" si="2"/>
        <v>10</v>
      </c>
      <c r="Q27" s="204"/>
    </row>
    <row r="28" spans="1:17" ht="15.75">
      <c r="A28" s="5">
        <f t="shared" si="0"/>
        <v>11</v>
      </c>
      <c r="B28" s="28" t="s">
        <v>149</v>
      </c>
      <c r="C28" s="13">
        <f>'Distrib Allocation Factors'!H27</f>
        <v>0.014816713145235862</v>
      </c>
      <c r="D28" s="94">
        <f>C36+C39</f>
        <v>53.91861010413706</v>
      </c>
      <c r="E28" s="94">
        <f>$E$30*C28</f>
        <v>23318.606101636728</v>
      </c>
      <c r="F28" s="283">
        <f>D28+E28</f>
        <v>23372.524711740865</v>
      </c>
      <c r="G28" s="288">
        <f t="shared" si="1"/>
        <v>0.01471070545857515</v>
      </c>
      <c r="H28" s="106"/>
      <c r="I28" s="299" t="s">
        <v>151</v>
      </c>
      <c r="J28" s="300" t="s">
        <v>151</v>
      </c>
      <c r="K28" s="267"/>
      <c r="L28" s="308" t="s">
        <v>151</v>
      </c>
      <c r="M28" s="300" t="s">
        <v>151</v>
      </c>
      <c r="N28" s="5">
        <f t="shared" si="2"/>
        <v>11</v>
      </c>
      <c r="Q28" s="204"/>
    </row>
    <row r="29" spans="1:17" ht="15.75">
      <c r="A29" s="5">
        <f t="shared" si="0"/>
        <v>12</v>
      </c>
      <c r="B29" s="28"/>
      <c r="C29" s="18"/>
      <c r="D29" s="94"/>
      <c r="E29" s="94"/>
      <c r="F29" s="283"/>
      <c r="G29" s="289"/>
      <c r="H29" s="91"/>
      <c r="I29" s="283"/>
      <c r="J29" s="297"/>
      <c r="K29" s="18"/>
      <c r="L29" s="283"/>
      <c r="M29" s="297"/>
      <c r="N29" s="5">
        <f t="shared" si="2"/>
        <v>12</v>
      </c>
      <c r="Q29" s="204"/>
    </row>
    <row r="30" spans="1:17" ht="16.5" thickBot="1">
      <c r="A30" s="5">
        <f t="shared" si="0"/>
        <v>13</v>
      </c>
      <c r="B30" s="28" t="s">
        <v>40</v>
      </c>
      <c r="C30" s="13">
        <f>SUM(C18:C29)</f>
        <v>0.9999999999999999</v>
      </c>
      <c r="D30" s="94">
        <f>D22+D26+D28</f>
        <v>15006.347479447511</v>
      </c>
      <c r="E30" s="94">
        <f>C32-D30</f>
        <v>1573804.2488279224</v>
      </c>
      <c r="F30" s="284">
        <f>D30+E30</f>
        <v>1588810.5963073699</v>
      </c>
      <c r="G30" s="290">
        <f>SUM(G18:G29)</f>
        <v>0.9999999999999998</v>
      </c>
      <c r="H30" s="13"/>
      <c r="I30" s="301">
        <f>SUM(I18:I29)</f>
        <v>1588810.5963073699</v>
      </c>
      <c r="J30" s="290">
        <f>F30/I30-1</f>
        <v>0</v>
      </c>
      <c r="K30" s="13"/>
      <c r="L30" s="301">
        <f>SUM(L18:L29)</f>
        <v>1588810.5963073699</v>
      </c>
      <c r="M30" s="290">
        <f>I30/L30-1</f>
        <v>0</v>
      </c>
      <c r="N30" s="5">
        <f t="shared" si="2"/>
        <v>13</v>
      </c>
      <c r="O30" s="143"/>
      <c r="P30" s="183"/>
      <c r="Q30" s="204"/>
    </row>
    <row r="31" spans="1:17" ht="16.5" thickBot="1">
      <c r="A31" s="5">
        <f t="shared" si="0"/>
        <v>14</v>
      </c>
      <c r="B31" s="12"/>
      <c r="C31" s="19"/>
      <c r="D31" s="19"/>
      <c r="E31" s="19"/>
      <c r="F31" s="273"/>
      <c r="G31" s="273"/>
      <c r="H31" s="273"/>
      <c r="I31" s="20"/>
      <c r="J31" s="12"/>
      <c r="K31" s="12"/>
      <c r="L31" s="12"/>
      <c r="M31" s="12"/>
      <c r="N31" s="5">
        <f t="shared" si="2"/>
        <v>14</v>
      </c>
      <c r="O31" s="143"/>
      <c r="P31" s="24"/>
      <c r="Q31" s="142"/>
    </row>
    <row r="32" spans="1:14" ht="18.75">
      <c r="A32" s="5">
        <f t="shared" si="0"/>
        <v>15</v>
      </c>
      <c r="B32" s="123" t="s">
        <v>179</v>
      </c>
      <c r="C32" s="131">
        <f>'Distrib Revenue Requirement'!C28</f>
        <v>1588810.5963073699</v>
      </c>
      <c r="D32" s="132"/>
      <c r="E32" s="17"/>
      <c r="F32" s="17"/>
      <c r="G32" s="17"/>
      <c r="H32" s="17"/>
      <c r="I32" s="133"/>
      <c r="J32" s="127"/>
      <c r="K32" s="127"/>
      <c r="L32" s="127"/>
      <c r="M32" s="127"/>
      <c r="N32" s="5">
        <f t="shared" si="2"/>
        <v>15</v>
      </c>
    </row>
    <row r="33" spans="1:14" ht="15.75">
      <c r="A33" s="5">
        <f t="shared" si="0"/>
        <v>16</v>
      </c>
      <c r="B33" s="124"/>
      <c r="C33" s="126"/>
      <c r="D33" s="29"/>
      <c r="E33" s="29"/>
      <c r="F33" s="29"/>
      <c r="G33" s="29"/>
      <c r="H33" s="29"/>
      <c r="I33" s="133"/>
      <c r="J33" s="127"/>
      <c r="K33" s="127"/>
      <c r="L33" s="127"/>
      <c r="M33" s="127"/>
      <c r="N33" s="5">
        <f t="shared" si="2"/>
        <v>16</v>
      </c>
    </row>
    <row r="34" spans="1:14" ht="15.75">
      <c r="A34" s="5">
        <f t="shared" si="0"/>
        <v>17</v>
      </c>
      <c r="B34" s="309" t="s">
        <v>173</v>
      </c>
      <c r="C34" s="126"/>
      <c r="D34" s="29"/>
      <c r="E34" s="29"/>
      <c r="F34" s="29"/>
      <c r="G34" s="29"/>
      <c r="H34" s="29"/>
      <c r="I34" s="133"/>
      <c r="J34" s="127"/>
      <c r="K34" s="127"/>
      <c r="L34" s="127"/>
      <c r="M34" s="127"/>
      <c r="N34" s="5">
        <f t="shared" si="2"/>
        <v>17</v>
      </c>
    </row>
    <row r="35" spans="1:14" ht="18.75">
      <c r="A35" s="5">
        <f t="shared" si="0"/>
        <v>18</v>
      </c>
      <c r="B35" s="124" t="s">
        <v>180</v>
      </c>
      <c r="C35" s="243">
        <v>3398.5941493433756</v>
      </c>
      <c r="D35" s="132"/>
      <c r="E35" s="17"/>
      <c r="F35" s="17"/>
      <c r="G35" s="17"/>
      <c r="H35" s="17"/>
      <c r="I35" s="133"/>
      <c r="J35" s="127"/>
      <c r="K35" s="127"/>
      <c r="L35" s="127"/>
      <c r="M35" s="127"/>
      <c r="N35" s="5">
        <f t="shared" si="2"/>
        <v>18</v>
      </c>
    </row>
    <row r="36" spans="1:14" ht="18.75">
      <c r="A36" s="5">
        <f t="shared" si="0"/>
        <v>19</v>
      </c>
      <c r="B36" s="124" t="s">
        <v>181</v>
      </c>
      <c r="C36" s="243">
        <v>27.698610104137057</v>
      </c>
      <c r="D36" s="132"/>
      <c r="E36" s="17"/>
      <c r="F36" s="17"/>
      <c r="G36" s="17"/>
      <c r="H36" s="17"/>
      <c r="I36" s="133"/>
      <c r="J36" s="127"/>
      <c r="K36" s="127"/>
      <c r="L36" s="127"/>
      <c r="M36" s="127"/>
      <c r="N36" s="5">
        <f t="shared" si="2"/>
        <v>19</v>
      </c>
    </row>
    <row r="37" spans="1:14" ht="18.75">
      <c r="A37" s="5">
        <f t="shared" si="0"/>
        <v>20</v>
      </c>
      <c r="B37" s="124" t="s">
        <v>182</v>
      </c>
      <c r="C37" s="243">
        <v>8047.8301679999995</v>
      </c>
      <c r="D37" s="132"/>
      <c r="E37" s="17"/>
      <c r="F37" s="17"/>
      <c r="G37" s="17"/>
      <c r="H37" s="17"/>
      <c r="I37" s="133"/>
      <c r="J37" s="127"/>
      <c r="K37" s="127"/>
      <c r="L37" s="127"/>
      <c r="M37" s="127"/>
      <c r="N37" s="5">
        <f t="shared" si="2"/>
        <v>20</v>
      </c>
    </row>
    <row r="38" spans="1:14" ht="18.75">
      <c r="A38" s="5">
        <f t="shared" si="0"/>
        <v>21</v>
      </c>
      <c r="B38" s="124" t="s">
        <v>183</v>
      </c>
      <c r="C38" s="243">
        <v>3506.0045519999994</v>
      </c>
      <c r="D38" s="132"/>
      <c r="E38" s="17"/>
      <c r="F38" s="17"/>
      <c r="G38" s="17"/>
      <c r="H38" s="17"/>
      <c r="I38" s="133"/>
      <c r="J38" s="127"/>
      <c r="K38" s="127"/>
      <c r="L38" s="127"/>
      <c r="M38" s="127"/>
      <c r="N38" s="5">
        <f t="shared" si="2"/>
        <v>21</v>
      </c>
    </row>
    <row r="39" spans="1:14" ht="19.5" thickBot="1">
      <c r="A39" s="5">
        <f t="shared" si="0"/>
        <v>22</v>
      </c>
      <c r="B39" s="125" t="s">
        <v>184</v>
      </c>
      <c r="C39" s="244">
        <v>26.22</v>
      </c>
      <c r="D39" s="23"/>
      <c r="E39" s="23"/>
      <c r="F39" s="23"/>
      <c r="G39" s="23"/>
      <c r="H39" s="23"/>
      <c r="I39" s="21"/>
      <c r="J39" s="21"/>
      <c r="K39" s="21"/>
      <c r="L39" s="21"/>
      <c r="M39" s="21"/>
      <c r="N39" s="5">
        <f t="shared" si="2"/>
        <v>22</v>
      </c>
    </row>
    <row r="40" spans="2:13" ht="12.75">
      <c r="B40" s="24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</row>
    <row r="41" spans="1:13" ht="15.75">
      <c r="A41" s="130" t="s">
        <v>35</v>
      </c>
      <c r="B41" s="121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</row>
    <row r="42" ht="12.75">
      <c r="B42" s="122" t="s">
        <v>105</v>
      </c>
    </row>
    <row r="43" spans="2:13" ht="12.75">
      <c r="B43" s="139" t="s">
        <v>196</v>
      </c>
      <c r="C43" s="138"/>
      <c r="D43" s="138"/>
      <c r="E43" s="138"/>
      <c r="F43" s="138"/>
      <c r="G43" s="138"/>
      <c r="H43" s="138"/>
      <c r="I43" s="138"/>
      <c r="J43" s="138"/>
      <c r="K43" s="138"/>
      <c r="L43" s="138"/>
      <c r="M43" s="138"/>
    </row>
    <row r="44" spans="2:13" ht="12.75">
      <c r="B44" s="139" t="s">
        <v>178</v>
      </c>
      <c r="C44" s="138"/>
      <c r="D44" s="138"/>
      <c r="E44" s="138"/>
      <c r="F44" s="138"/>
      <c r="G44" s="138"/>
      <c r="H44" s="138"/>
      <c r="I44" s="138"/>
      <c r="J44" s="138"/>
      <c r="K44" s="138"/>
      <c r="L44" s="138"/>
      <c r="M44" s="138"/>
    </row>
    <row r="45" spans="2:13" ht="12.75">
      <c r="B45" s="129" t="s">
        <v>197</v>
      </c>
      <c r="C45" s="138"/>
      <c r="D45" s="138"/>
      <c r="E45" s="138"/>
      <c r="F45" s="138"/>
      <c r="G45" s="138"/>
      <c r="H45" s="138"/>
      <c r="I45" s="138"/>
      <c r="J45" s="138"/>
      <c r="K45" s="138"/>
      <c r="L45" s="138"/>
      <c r="M45" s="138"/>
    </row>
    <row r="46" spans="2:13" ht="12.75">
      <c r="B46" s="129" t="s">
        <v>174</v>
      </c>
      <c r="C46" s="138"/>
      <c r="D46" s="138"/>
      <c r="E46" s="138"/>
      <c r="F46" s="138"/>
      <c r="G46" s="138"/>
      <c r="H46" s="138"/>
      <c r="I46" s="138"/>
      <c r="J46" s="138"/>
      <c r="K46" s="138"/>
      <c r="L46" s="138"/>
      <c r="M46" s="138"/>
    </row>
    <row r="47" spans="2:13" ht="12.75">
      <c r="B47" s="129" t="s">
        <v>198</v>
      </c>
      <c r="C47" s="138"/>
      <c r="D47" s="138"/>
      <c r="E47" s="138"/>
      <c r="F47" s="138"/>
      <c r="G47" s="138"/>
      <c r="H47" s="138"/>
      <c r="I47" s="138"/>
      <c r="J47" s="138"/>
      <c r="K47" s="138"/>
      <c r="L47" s="138"/>
      <c r="M47" s="138"/>
    </row>
    <row r="48" spans="2:13" ht="12.75">
      <c r="B48" s="129" t="s">
        <v>194</v>
      </c>
      <c r="C48" s="138"/>
      <c r="D48" s="138"/>
      <c r="E48" s="138"/>
      <c r="F48" s="138"/>
      <c r="G48" s="138"/>
      <c r="H48" s="138"/>
      <c r="I48" s="138"/>
      <c r="J48" s="138"/>
      <c r="K48" s="138"/>
      <c r="L48" s="138"/>
      <c r="M48" s="138"/>
    </row>
    <row r="49" spans="2:13" ht="12.75">
      <c r="B49" s="129" t="s">
        <v>185</v>
      </c>
      <c r="C49" s="138"/>
      <c r="D49" s="138"/>
      <c r="E49" s="138"/>
      <c r="F49" s="138"/>
      <c r="G49" s="138"/>
      <c r="H49" s="138"/>
      <c r="I49" s="138"/>
      <c r="J49" s="138"/>
      <c r="K49" s="138"/>
      <c r="L49" s="138"/>
      <c r="M49" s="138"/>
    </row>
    <row r="50" spans="2:13" ht="12.75">
      <c r="B50" s="129" t="s">
        <v>195</v>
      </c>
      <c r="C50" s="138"/>
      <c r="D50" s="138"/>
      <c r="E50" s="138"/>
      <c r="F50" s="138"/>
      <c r="G50" s="138"/>
      <c r="H50" s="138"/>
      <c r="I50" s="138"/>
      <c r="J50" s="138"/>
      <c r="K50" s="138"/>
      <c r="L50" s="138"/>
      <c r="M50" s="138"/>
    </row>
    <row r="51" ht="12.75">
      <c r="B51" s="129" t="s">
        <v>186</v>
      </c>
    </row>
    <row r="60" ht="12.75">
      <c r="B60" s="27"/>
    </row>
  </sheetData>
  <sheetProtection/>
  <mergeCells count="13">
    <mergeCell ref="F11:G11"/>
    <mergeCell ref="F12:G12"/>
    <mergeCell ref="F13:G13"/>
    <mergeCell ref="F14:G14"/>
    <mergeCell ref="A1:N1"/>
    <mergeCell ref="A2:N2"/>
    <mergeCell ref="C10:F10"/>
    <mergeCell ref="A4:N4"/>
    <mergeCell ref="A5:N5"/>
    <mergeCell ref="A6:N6"/>
    <mergeCell ref="A8:N8"/>
    <mergeCell ref="I10:J10"/>
    <mergeCell ref="L10:M10"/>
  </mergeCells>
  <printOptions horizontalCentered="1"/>
  <pageMargins left="0.4" right="0.4" top="1" bottom="0.75" header="0.5" footer="0.5"/>
  <pageSetup horizontalDpi="600" verticalDpi="600" orientation="landscape" scale="46" r:id="rId1"/>
  <headerFooter alignWithMargins="0">
    <oddFooter>&amp;L&amp;F
&amp;A&amp;R&amp;P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53"/>
  <sheetViews>
    <sheetView workbookViewId="0" topLeftCell="A1">
      <selection activeCell="A1" sqref="A1"/>
    </sheetView>
  </sheetViews>
  <sheetFormatPr defaultColWidth="9.140625" defaultRowHeight="12.75"/>
  <cols>
    <col min="1" max="1" width="6.00390625" style="0" customWidth="1"/>
    <col min="2" max="2" width="44.7109375" style="0" customWidth="1"/>
    <col min="3" max="3" width="16.7109375" style="0" bestFit="1" customWidth="1"/>
    <col min="4" max="4" width="16.00390625" style="0" bestFit="1" customWidth="1"/>
    <col min="5" max="5" width="21.00390625" style="0" bestFit="1" customWidth="1"/>
    <col min="6" max="6" width="14.00390625" style="0" bestFit="1" customWidth="1"/>
    <col min="7" max="8" width="16.7109375" style="0" bestFit="1" customWidth="1"/>
    <col min="9" max="9" width="6.00390625" style="0" bestFit="1" customWidth="1"/>
    <col min="11" max="11" width="9.28125" style="0" bestFit="1" customWidth="1"/>
    <col min="14" max="15" width="12.7109375" style="0" customWidth="1"/>
  </cols>
  <sheetData>
    <row r="1" spans="10:13" ht="15.75">
      <c r="J1" s="30"/>
      <c r="K1" s="2"/>
      <c r="L1" s="2"/>
      <c r="M1" s="2"/>
    </row>
    <row r="2" spans="10:13" ht="15.75">
      <c r="J2" s="30"/>
      <c r="K2" s="2"/>
      <c r="L2" s="2"/>
      <c r="M2" s="2"/>
    </row>
    <row r="3" spans="10:13" ht="15.75">
      <c r="J3" s="2"/>
      <c r="K3" s="2"/>
      <c r="L3" s="2"/>
      <c r="M3" s="2"/>
    </row>
    <row r="4" spans="1:13" ht="15.75">
      <c r="A4" s="326" t="str">
        <f>'Distrib Class EPMC Rates &amp; Rev'!A4:G4</f>
        <v>SAN DIEGO GAS &amp; ELECTRIC COMPANY ("SDG&amp;E")</v>
      </c>
      <c r="B4" s="326"/>
      <c r="C4" s="326"/>
      <c r="D4" s="326"/>
      <c r="E4" s="326"/>
      <c r="F4" s="326"/>
      <c r="G4" s="326"/>
      <c r="H4" s="326"/>
      <c r="I4" s="326"/>
      <c r="J4" s="2"/>
      <c r="K4" s="2"/>
      <c r="L4" s="2"/>
      <c r="M4" s="2"/>
    </row>
    <row r="5" spans="1:13" ht="15.75">
      <c r="A5" s="326" t="str">
        <f>'Distrib Class EPMC Rates &amp; Rev'!A5:G5</f>
        <v>TEST YEAR ("TY") 2019 GENERAL RATE CASE ("GRC") PHASE 2, APPLICATION ("A.") 19-03-002</v>
      </c>
      <c r="B5" s="326"/>
      <c r="C5" s="326"/>
      <c r="D5" s="326"/>
      <c r="E5" s="326"/>
      <c r="F5" s="326"/>
      <c r="G5" s="326"/>
      <c r="H5" s="326"/>
      <c r="I5" s="326"/>
      <c r="J5" s="2"/>
      <c r="K5" s="2"/>
      <c r="L5" s="2"/>
      <c r="M5" s="2"/>
    </row>
    <row r="6" spans="1:13" ht="15.75">
      <c r="A6" s="326" t="str">
        <f>'Distrib Class EPMC Rates &amp; Rev'!A6:G6</f>
        <v>DISTRIBUTION REVENUE ALLOCATION WORKPAPERS - CHAPTER 5 (SAXE) - REVISED</v>
      </c>
      <c r="B6" s="326"/>
      <c r="C6" s="326"/>
      <c r="D6" s="326"/>
      <c r="E6" s="326"/>
      <c r="F6" s="326"/>
      <c r="G6" s="326"/>
      <c r="H6" s="326"/>
      <c r="I6" s="326"/>
      <c r="J6" s="2"/>
      <c r="K6" s="2"/>
      <c r="L6" s="2"/>
      <c r="M6" s="2"/>
    </row>
    <row r="7" spans="1:13" ht="15.75">
      <c r="A7" s="30"/>
      <c r="C7" s="30"/>
      <c r="D7" s="30"/>
      <c r="E7" s="30"/>
      <c r="F7" s="30"/>
      <c r="G7" s="30"/>
      <c r="H7" s="30"/>
      <c r="I7" s="30"/>
      <c r="J7" s="30"/>
      <c r="K7" s="2"/>
      <c r="L7" s="2"/>
      <c r="M7" s="2"/>
    </row>
    <row r="8" spans="1:13" ht="15.75">
      <c r="A8" s="326" t="s">
        <v>62</v>
      </c>
      <c r="B8" s="326"/>
      <c r="C8" s="326"/>
      <c r="D8" s="326"/>
      <c r="E8" s="326"/>
      <c r="F8" s="326"/>
      <c r="G8" s="326"/>
      <c r="H8" s="326"/>
      <c r="I8" s="326"/>
      <c r="J8" s="30"/>
      <c r="K8" s="2"/>
      <c r="L8" s="2"/>
      <c r="M8" s="2"/>
    </row>
    <row r="9" spans="1:13" ht="15.75">
      <c r="A9" s="1"/>
      <c r="B9" s="1"/>
      <c r="C9" s="1"/>
      <c r="D9" s="1"/>
      <c r="E9" s="1"/>
      <c r="F9" s="1"/>
      <c r="G9" s="1"/>
      <c r="H9" s="1"/>
      <c r="I9" s="1"/>
      <c r="J9" s="30"/>
      <c r="K9" s="2"/>
      <c r="L9" s="2"/>
      <c r="M9" s="2"/>
    </row>
    <row r="10" spans="2:13" ht="15.75">
      <c r="B10" s="1"/>
      <c r="C10" s="1"/>
      <c r="D10" s="1"/>
      <c r="E10" s="3"/>
      <c r="F10" s="1"/>
      <c r="G10" s="1" t="s">
        <v>2</v>
      </c>
      <c r="H10" s="105" t="s">
        <v>0</v>
      </c>
      <c r="I10" s="1"/>
      <c r="J10" s="1"/>
      <c r="K10" s="2"/>
      <c r="L10" s="2"/>
      <c r="M10" s="2"/>
    </row>
    <row r="11" spans="2:11" ht="15.75">
      <c r="B11" s="3"/>
      <c r="C11" s="3" t="s">
        <v>23</v>
      </c>
      <c r="D11" s="3"/>
      <c r="E11" s="3" t="s">
        <v>33</v>
      </c>
      <c r="G11" s="3" t="s">
        <v>0</v>
      </c>
      <c r="H11" s="3" t="s">
        <v>55</v>
      </c>
      <c r="I11" s="4"/>
      <c r="J11" s="4"/>
      <c r="K11" s="4"/>
    </row>
    <row r="12" spans="2:11" ht="15.75">
      <c r="B12" s="3"/>
      <c r="C12" s="3" t="s">
        <v>55</v>
      </c>
      <c r="D12" s="3" t="s">
        <v>6</v>
      </c>
      <c r="E12" s="3" t="s">
        <v>55</v>
      </c>
      <c r="F12" s="3" t="s">
        <v>6</v>
      </c>
      <c r="G12" s="3" t="s">
        <v>55</v>
      </c>
      <c r="H12" s="3" t="s">
        <v>8</v>
      </c>
      <c r="I12" s="4"/>
      <c r="J12" s="4"/>
      <c r="K12" s="4"/>
    </row>
    <row r="13" spans="3:11" ht="15.75">
      <c r="C13" s="3" t="s">
        <v>5</v>
      </c>
      <c r="D13" s="3" t="s">
        <v>8</v>
      </c>
      <c r="E13" s="3" t="s">
        <v>5</v>
      </c>
      <c r="F13" s="3" t="s">
        <v>8</v>
      </c>
      <c r="G13" s="3" t="s">
        <v>5</v>
      </c>
      <c r="H13" s="3" t="s">
        <v>61</v>
      </c>
      <c r="I13" s="3"/>
      <c r="J13" s="3"/>
      <c r="K13" s="4"/>
    </row>
    <row r="14" spans="1:11" ht="15.75">
      <c r="A14" s="5" t="s">
        <v>10</v>
      </c>
      <c r="B14" s="3" t="s">
        <v>14</v>
      </c>
      <c r="C14" s="7" t="s">
        <v>12</v>
      </c>
      <c r="D14" s="6" t="s">
        <v>11</v>
      </c>
      <c r="E14" s="7" t="s">
        <v>12</v>
      </c>
      <c r="F14" s="6" t="s">
        <v>11</v>
      </c>
      <c r="G14" s="7" t="s">
        <v>12</v>
      </c>
      <c r="H14" s="3" t="s">
        <v>11</v>
      </c>
      <c r="I14" s="5" t="s">
        <v>10</v>
      </c>
      <c r="J14" s="4"/>
      <c r="K14" s="4"/>
    </row>
    <row r="15" spans="1:11" ht="16.5" thickBot="1">
      <c r="A15" s="8" t="s">
        <v>13</v>
      </c>
      <c r="B15" s="9" t="s">
        <v>15</v>
      </c>
      <c r="C15" s="10" t="s">
        <v>16</v>
      </c>
      <c r="D15" s="10" t="s">
        <v>17</v>
      </c>
      <c r="E15" s="10" t="s">
        <v>18</v>
      </c>
      <c r="F15" s="10" t="s">
        <v>19</v>
      </c>
      <c r="G15" s="10" t="s">
        <v>20</v>
      </c>
      <c r="H15" s="9" t="s">
        <v>21</v>
      </c>
      <c r="I15" s="8" t="s">
        <v>13</v>
      </c>
      <c r="J15" s="4"/>
      <c r="K15" s="4"/>
    </row>
    <row r="16" spans="1:11" ht="15.75">
      <c r="A16" s="5"/>
      <c r="B16" s="3"/>
      <c r="C16" s="11"/>
      <c r="D16" s="11"/>
      <c r="E16" s="11"/>
      <c r="F16" s="11"/>
      <c r="G16" s="11"/>
      <c r="H16" s="3"/>
      <c r="I16" s="5"/>
      <c r="J16" s="4"/>
      <c r="K16" s="4"/>
    </row>
    <row r="17" spans="1:11" ht="15.75">
      <c r="A17" s="5">
        <v>1</v>
      </c>
      <c r="B17" s="28" t="s">
        <v>31</v>
      </c>
      <c r="C17" s="174">
        <f>'Distrib Marginal Revenues'!F16</f>
        <v>176612.51798714974</v>
      </c>
      <c r="D17" s="13">
        <f>C17/$C$29</f>
        <v>0.666526383219617</v>
      </c>
      <c r="E17" s="94">
        <f>'Distrib Marginal Revenues'!F49+'Distrib Marginal Revenues'!F60</f>
        <v>186613.41027474977</v>
      </c>
      <c r="F17" s="13">
        <f>E17/$E$29</f>
        <v>0.415358612359031</v>
      </c>
      <c r="G17" s="91">
        <f>C17+E17</f>
        <v>363225.9282618995</v>
      </c>
      <c r="H17" s="106">
        <f>G17/$G$29</f>
        <v>0.5085366248779521</v>
      </c>
      <c r="I17" s="5">
        <v>1</v>
      </c>
      <c r="J17" s="4"/>
      <c r="K17" s="4"/>
    </row>
    <row r="18" spans="1:11" ht="15.75">
      <c r="A18" s="5">
        <f>A17+1</f>
        <v>2</v>
      </c>
      <c r="B18" s="28"/>
      <c r="C18" s="94"/>
      <c r="D18" s="13"/>
      <c r="E18" s="94"/>
      <c r="F18" s="18"/>
      <c r="G18" s="91"/>
      <c r="H18" s="107"/>
      <c r="I18" s="5">
        <f>I17+1</f>
        <v>2</v>
      </c>
      <c r="J18" s="4"/>
      <c r="K18" s="4"/>
    </row>
    <row r="19" spans="1:11" ht="15.75">
      <c r="A19" s="5">
        <f aca="true" t="shared" si="0" ref="A19:A29">A18+1</f>
        <v>3</v>
      </c>
      <c r="B19" s="28" t="s">
        <v>38</v>
      </c>
      <c r="C19" s="174">
        <f>'Distrib Marginal Revenues'!F22</f>
        <v>44479.3129777588</v>
      </c>
      <c r="D19" s="13">
        <f>C19/$C$29</f>
        <v>0.16786259516053115</v>
      </c>
      <c r="E19" s="94">
        <f>'Distrib Marginal Revenues'!F50+'Distrib Marginal Revenues'!F61</f>
        <v>57125.175810517634</v>
      </c>
      <c r="F19" s="13">
        <f>E19/$E$29</f>
        <v>0.1271475277178019</v>
      </c>
      <c r="G19" s="91">
        <f>C19+E19</f>
        <v>101604.48878827643</v>
      </c>
      <c r="H19" s="106">
        <f>G19/$G$29</f>
        <v>0.14225196986373756</v>
      </c>
      <c r="I19" s="5">
        <f aca="true" t="shared" si="1" ref="I19:I29">I18+1</f>
        <v>3</v>
      </c>
      <c r="J19" s="4"/>
      <c r="K19" s="176"/>
    </row>
    <row r="20" spans="1:11" ht="15.75">
      <c r="A20" s="5">
        <f t="shared" si="0"/>
        <v>4</v>
      </c>
      <c r="B20" s="28"/>
      <c r="C20" s="94"/>
      <c r="D20" s="13"/>
      <c r="E20" s="94"/>
      <c r="F20" s="18"/>
      <c r="G20" s="91"/>
      <c r="H20" s="107"/>
      <c r="I20" s="5">
        <f t="shared" si="1"/>
        <v>4</v>
      </c>
      <c r="J20" s="4"/>
      <c r="K20" s="4"/>
    </row>
    <row r="21" spans="1:11" ht="15.75">
      <c r="A21" s="5">
        <f t="shared" si="0"/>
        <v>5</v>
      </c>
      <c r="B21" s="70" t="s">
        <v>46</v>
      </c>
      <c r="C21" s="174">
        <f>'Distrib Marginal Revenues'!F28</f>
        <v>38070.88817433018</v>
      </c>
      <c r="D21" s="13">
        <f>C21/$C$29</f>
        <v>0.14367753594137125</v>
      </c>
      <c r="E21" s="94">
        <f>'Distrib Marginal Revenues'!F51+'Distrib Marginal Revenues'!F62</f>
        <v>190054.379044308</v>
      </c>
      <c r="F21" s="13">
        <f>E21/$E$29</f>
        <v>0.42301741893241823</v>
      </c>
      <c r="G21" s="91">
        <f>C21+E21</f>
        <v>228125.26721863818</v>
      </c>
      <c r="H21" s="106">
        <f>G21/$G$29</f>
        <v>0.3193881394862858</v>
      </c>
      <c r="I21" s="5">
        <f t="shared" si="1"/>
        <v>5</v>
      </c>
      <c r="J21" s="4"/>
      <c r="K21" s="177"/>
    </row>
    <row r="22" spans="1:11" ht="15.75">
      <c r="A22" s="5">
        <f t="shared" si="0"/>
        <v>6</v>
      </c>
      <c r="B22" s="28"/>
      <c r="C22" s="94"/>
      <c r="D22" s="13"/>
      <c r="E22" s="94"/>
      <c r="F22" s="18"/>
      <c r="G22" s="91"/>
      <c r="H22" s="107"/>
      <c r="I22" s="5">
        <f t="shared" si="1"/>
        <v>6</v>
      </c>
      <c r="J22" s="4"/>
      <c r="K22" s="4"/>
    </row>
    <row r="23" spans="1:15" ht="15.75">
      <c r="A23" s="5">
        <f t="shared" si="0"/>
        <v>7</v>
      </c>
      <c r="B23" s="28" t="s">
        <v>39</v>
      </c>
      <c r="C23" s="174">
        <f>'Distrib Marginal Revenues'!F33</f>
        <v>2373.831163375301</v>
      </c>
      <c r="D23" s="13">
        <f>C23/$C$29</f>
        <v>0.008958714352363612</v>
      </c>
      <c r="E23" s="94">
        <f>'Distrib Marginal Revenues'!F52+'Distrib Marginal Revenues'!F63</f>
        <v>6155.190309302605</v>
      </c>
      <c r="F23" s="13">
        <f>E23/$E$29</f>
        <v>0.013700040645061905</v>
      </c>
      <c r="G23" s="91">
        <f>C23+E23</f>
        <v>8529.021472677905</v>
      </c>
      <c r="H23" s="106">
        <f>G23/$G$29</f>
        <v>0.011941107326732009</v>
      </c>
      <c r="I23" s="5">
        <f t="shared" si="1"/>
        <v>7</v>
      </c>
      <c r="J23" s="4"/>
      <c r="K23" s="4"/>
      <c r="N23" s="134"/>
      <c r="O23" s="135"/>
    </row>
    <row r="24" spans="1:15" ht="15.75">
      <c r="A24" s="5">
        <f t="shared" si="0"/>
        <v>8</v>
      </c>
      <c r="B24" s="28"/>
      <c r="C24" s="174"/>
      <c r="D24" s="13"/>
      <c r="E24" s="94"/>
      <c r="F24" s="13"/>
      <c r="G24" s="91"/>
      <c r="H24" s="106"/>
      <c r="I24" s="5">
        <f t="shared" si="1"/>
        <v>8</v>
      </c>
      <c r="J24" s="4"/>
      <c r="K24" s="4"/>
      <c r="N24" s="134"/>
      <c r="O24" s="136"/>
    </row>
    <row r="25" spans="1:15" ht="15.75">
      <c r="A25" s="5">
        <f t="shared" si="0"/>
        <v>9</v>
      </c>
      <c r="B25" s="28" t="s">
        <v>44</v>
      </c>
      <c r="C25" s="174">
        <f>'Distrib Marginal Revenues'!F35</f>
        <v>1229.588387049287</v>
      </c>
      <c r="D25" s="13">
        <f>C25/$C$29</f>
        <v>0.0046404021063129516</v>
      </c>
      <c r="E25" s="94">
        <f>'Distrib Marginal Revenues'!F53+'Distrib Marginal Revenues'!F64</f>
        <v>959.927884106811</v>
      </c>
      <c r="F25" s="13">
        <f>E25/$E$29</f>
        <v>0.002136579109295099</v>
      </c>
      <c r="G25" s="91">
        <f>C25+E25</f>
        <v>2189.516271156098</v>
      </c>
      <c r="H25" s="106">
        <f>G25/$G$29</f>
        <v>0.00306544530005645</v>
      </c>
      <c r="I25" s="5">
        <f t="shared" si="1"/>
        <v>9</v>
      </c>
      <c r="J25" s="4"/>
      <c r="K25" s="4"/>
      <c r="N25" s="134"/>
      <c r="O25" s="136"/>
    </row>
    <row r="26" spans="1:15" ht="15.75">
      <c r="A26" s="5">
        <f t="shared" si="0"/>
        <v>10</v>
      </c>
      <c r="B26" s="28"/>
      <c r="C26" s="174"/>
      <c r="D26" s="13"/>
      <c r="E26" s="94"/>
      <c r="F26" s="13"/>
      <c r="G26" s="91"/>
      <c r="H26" s="106"/>
      <c r="I26" s="5">
        <f t="shared" si="1"/>
        <v>10</v>
      </c>
      <c r="J26" s="4"/>
      <c r="K26" s="4"/>
      <c r="N26" s="134"/>
      <c r="O26" s="136"/>
    </row>
    <row r="27" spans="1:15" ht="15.75">
      <c r="A27" s="5">
        <f t="shared" si="0"/>
        <v>11</v>
      </c>
      <c r="B27" s="28" t="s">
        <v>149</v>
      </c>
      <c r="C27" s="174">
        <f>'Distrib Marginal Revenues'!F41</f>
        <v>2208.395602637738</v>
      </c>
      <c r="D27" s="13">
        <f>C27/$C$29</f>
        <v>0.008334369219804322</v>
      </c>
      <c r="E27" s="94">
        <f>'Distrib Marginal Revenues'!F54+'Distrib Marginal Revenues'!F55+'Distrib Marginal Revenues'!F65+'Distrib Marginal Revenues'!F66</f>
        <v>8374.547931193694</v>
      </c>
      <c r="F27" s="13">
        <f>E27/$E$29</f>
        <v>0.01863982123639196</v>
      </c>
      <c r="G27" s="91">
        <f>C27+E27</f>
        <v>10582.943533831432</v>
      </c>
      <c r="H27" s="106">
        <f>G27/$G$29</f>
        <v>0.014816713145235862</v>
      </c>
      <c r="I27" s="5">
        <f t="shared" si="1"/>
        <v>11</v>
      </c>
      <c r="J27" s="4"/>
      <c r="K27" s="4"/>
      <c r="N27" s="134"/>
      <c r="O27" s="136"/>
    </row>
    <row r="28" spans="1:15" ht="15.75">
      <c r="A28" s="5">
        <f t="shared" si="0"/>
        <v>12</v>
      </c>
      <c r="B28" s="28"/>
      <c r="C28" s="94"/>
      <c r="D28" s="13"/>
      <c r="E28" s="94"/>
      <c r="F28" s="18"/>
      <c r="G28" s="91"/>
      <c r="H28" s="107"/>
      <c r="I28" s="5">
        <f t="shared" si="1"/>
        <v>12</v>
      </c>
      <c r="J28" s="4"/>
      <c r="K28" s="4"/>
      <c r="N28" s="134"/>
      <c r="O28" s="136"/>
    </row>
    <row r="29" spans="1:11" ht="15.75">
      <c r="A29" s="5">
        <f t="shared" si="0"/>
        <v>13</v>
      </c>
      <c r="B29" s="28" t="s">
        <v>40</v>
      </c>
      <c r="C29" s="174">
        <f aca="true" t="shared" si="2" ref="C29:H29">SUM(C17:C28)</f>
        <v>264974.534292301</v>
      </c>
      <c r="D29" s="13">
        <f t="shared" si="2"/>
        <v>1.0000000000000002</v>
      </c>
      <c r="E29" s="94">
        <f t="shared" si="2"/>
        <v>449282.6312541785</v>
      </c>
      <c r="F29" s="13">
        <f t="shared" si="2"/>
        <v>1.0000000000000002</v>
      </c>
      <c r="G29" s="94">
        <f t="shared" si="2"/>
        <v>714257.1655464796</v>
      </c>
      <c r="H29" s="106">
        <f t="shared" si="2"/>
        <v>0.9999999999999999</v>
      </c>
      <c r="I29" s="5">
        <f t="shared" si="1"/>
        <v>13</v>
      </c>
      <c r="J29" s="4"/>
      <c r="K29" s="4"/>
    </row>
    <row r="30" spans="2:11" ht="15">
      <c r="B30" s="12"/>
      <c r="C30" s="19"/>
      <c r="D30" s="20"/>
      <c r="E30" s="20"/>
      <c r="F30" s="20"/>
      <c r="G30" s="20"/>
      <c r="H30" s="12"/>
      <c r="I30" s="4"/>
      <c r="J30" s="4"/>
      <c r="K30" s="4"/>
    </row>
    <row r="31" spans="1:8" ht="15.75">
      <c r="A31" s="141" t="s">
        <v>35</v>
      </c>
      <c r="B31" s="121"/>
      <c r="C31" s="223"/>
      <c r="D31" s="25"/>
      <c r="E31" s="25"/>
      <c r="F31" s="25"/>
      <c r="G31" s="77"/>
      <c r="H31" s="26"/>
    </row>
    <row r="32" spans="1:6" ht="12.75">
      <c r="A32" s="24"/>
      <c r="B32" s="122" t="s">
        <v>71</v>
      </c>
      <c r="C32" s="24"/>
      <c r="D32" s="24"/>
      <c r="E32" s="24"/>
      <c r="F32" s="24"/>
    </row>
    <row r="33" spans="1:6" ht="12.75">
      <c r="A33" s="24"/>
      <c r="B33" s="122" t="s">
        <v>104</v>
      </c>
      <c r="C33" s="24"/>
      <c r="D33" s="24"/>
      <c r="E33" s="24"/>
      <c r="F33" s="24"/>
    </row>
    <row r="34" spans="1:6" ht="12.75">
      <c r="A34" s="24"/>
      <c r="B34" s="122"/>
      <c r="C34" s="65"/>
      <c r="D34" s="65"/>
      <c r="E34" s="80"/>
      <c r="F34" s="24"/>
    </row>
    <row r="35" spans="1:6" ht="12.75">
      <c r="A35" s="24"/>
      <c r="B35" s="24"/>
      <c r="C35" s="74"/>
      <c r="D35" s="73"/>
      <c r="E35" s="81"/>
      <c r="F35" s="24"/>
    </row>
    <row r="36" spans="1:6" ht="12.75">
      <c r="A36" s="24"/>
      <c r="B36" s="24"/>
      <c r="C36" s="73"/>
      <c r="D36" s="73"/>
      <c r="E36" s="81"/>
      <c r="F36" s="24"/>
    </row>
    <row r="37" spans="1:6" ht="12.75">
      <c r="A37" s="24"/>
      <c r="B37" s="24"/>
      <c r="C37" s="73"/>
      <c r="D37" s="73"/>
      <c r="E37" s="81"/>
      <c r="F37" s="24"/>
    </row>
    <row r="38" spans="1:6" ht="12.75">
      <c r="A38" s="24"/>
      <c r="B38" s="24"/>
      <c r="C38" s="73"/>
      <c r="D38" s="73"/>
      <c r="E38" s="81"/>
      <c r="F38" s="24"/>
    </row>
    <row r="39" spans="1:6" ht="12.75">
      <c r="A39" s="24"/>
      <c r="B39" s="24"/>
      <c r="C39" s="73"/>
      <c r="D39" s="74"/>
      <c r="E39" s="81"/>
      <c r="F39" s="24"/>
    </row>
    <row r="40" spans="1:6" ht="12.75">
      <c r="A40" s="24"/>
      <c r="B40" s="24"/>
      <c r="C40" s="73"/>
      <c r="D40" s="73"/>
      <c r="E40" s="81"/>
      <c r="F40" s="24"/>
    </row>
    <row r="41" spans="1:6" ht="12.75">
      <c r="A41" s="24"/>
      <c r="B41" s="55"/>
      <c r="C41" s="75"/>
      <c r="D41" s="75"/>
      <c r="E41" s="81"/>
      <c r="F41" s="24"/>
    </row>
    <row r="42" spans="1:6" ht="12.75">
      <c r="A42" s="24"/>
      <c r="B42" s="79"/>
      <c r="C42" s="75"/>
      <c r="D42" s="75"/>
      <c r="E42" s="81"/>
      <c r="F42" s="24"/>
    </row>
    <row r="43" spans="1:6" ht="12.75">
      <c r="A43" s="24"/>
      <c r="B43" s="24"/>
      <c r="C43" s="74"/>
      <c r="D43" s="73"/>
      <c r="E43" s="81"/>
      <c r="F43" s="24"/>
    </row>
    <row r="44" spans="1:6" ht="12.75">
      <c r="A44" s="24"/>
      <c r="B44" s="24"/>
      <c r="C44" s="74"/>
      <c r="D44" s="73"/>
      <c r="E44" s="81"/>
      <c r="F44" s="24"/>
    </row>
    <row r="45" spans="1:6" ht="12.75">
      <c r="A45" s="24"/>
      <c r="B45" s="24"/>
      <c r="C45" s="74"/>
      <c r="D45" s="73"/>
      <c r="E45" s="81"/>
      <c r="F45" s="24"/>
    </row>
    <row r="46" spans="1:6" ht="12.75">
      <c r="A46" s="24"/>
      <c r="B46" s="24"/>
      <c r="C46" s="74"/>
      <c r="D46" s="73"/>
      <c r="E46" s="81"/>
      <c r="F46" s="24"/>
    </row>
    <row r="47" spans="1:6" ht="12.75">
      <c r="A47" s="24"/>
      <c r="B47" s="24"/>
      <c r="C47" s="74"/>
      <c r="D47" s="73"/>
      <c r="E47" s="81"/>
      <c r="F47" s="24"/>
    </row>
    <row r="48" spans="1:6" ht="12.75">
      <c r="A48" s="24"/>
      <c r="B48" s="24"/>
      <c r="C48" s="73"/>
      <c r="D48" s="73"/>
      <c r="E48" s="82"/>
      <c r="F48" s="24"/>
    </row>
    <row r="49" spans="1:6" ht="12.75">
      <c r="A49" s="24"/>
      <c r="B49" s="24"/>
      <c r="C49" s="24"/>
      <c r="D49" s="24"/>
      <c r="E49" s="24"/>
      <c r="F49" s="24"/>
    </row>
    <row r="53" ht="12.75">
      <c r="B53" s="27"/>
    </row>
  </sheetData>
  <sheetProtection/>
  <mergeCells count="4">
    <mergeCell ref="A4:I4"/>
    <mergeCell ref="A5:I5"/>
    <mergeCell ref="A6:I6"/>
    <mergeCell ref="A8:I8"/>
  </mergeCells>
  <printOptions horizontalCentered="1"/>
  <pageMargins left="0.4" right="0.4" top="1" bottom="0.75" header="0.5" footer="0.5"/>
  <pageSetup horizontalDpi="600" verticalDpi="600" orientation="portrait" scale="53" r:id="rId1"/>
  <headerFooter alignWithMargins="0">
    <oddFooter>&amp;L&amp;F
&amp;A&amp;R&amp;P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93"/>
  <sheetViews>
    <sheetView workbookViewId="0" topLeftCell="A1">
      <selection activeCell="A1" sqref="A1:G1"/>
    </sheetView>
  </sheetViews>
  <sheetFormatPr defaultColWidth="9.140625" defaultRowHeight="12.75"/>
  <cols>
    <col min="1" max="1" width="9.28125" style="31" bestFit="1" customWidth="1"/>
    <col min="2" max="2" width="53.421875" style="31" bestFit="1" customWidth="1"/>
    <col min="3" max="3" width="17.28125" style="31" bestFit="1" customWidth="1"/>
    <col min="4" max="4" width="13.28125" style="31" bestFit="1" customWidth="1"/>
    <col min="5" max="5" width="16.7109375" style="31" bestFit="1" customWidth="1"/>
    <col min="6" max="6" width="16.00390625" style="31" bestFit="1" customWidth="1"/>
    <col min="7" max="7" width="9.28125" style="31" bestFit="1" customWidth="1"/>
    <col min="8" max="8" width="48.140625" style="31" bestFit="1" customWidth="1"/>
    <col min="9" max="9" width="14.28125" style="31" bestFit="1" customWidth="1"/>
    <col min="10" max="10" width="12.7109375" style="31" bestFit="1" customWidth="1"/>
    <col min="11" max="11" width="14.140625" style="31" bestFit="1" customWidth="1"/>
    <col min="12" max="12" width="9.7109375" style="31" bestFit="1" customWidth="1"/>
    <col min="13" max="16384" width="9.140625" style="31" customWidth="1"/>
  </cols>
  <sheetData>
    <row r="1" spans="1:7" ht="15.75">
      <c r="A1" s="327"/>
      <c r="B1" s="327"/>
      <c r="C1" s="327"/>
      <c r="D1" s="327"/>
      <c r="E1" s="327"/>
      <c r="F1" s="327"/>
      <c r="G1" s="327"/>
    </row>
    <row r="2" spans="1:7" ht="15.75">
      <c r="A2" s="328"/>
      <c r="B2" s="328"/>
      <c r="C2" s="328"/>
      <c r="D2" s="328"/>
      <c r="E2" s="328"/>
      <c r="F2" s="328"/>
      <c r="G2" s="328"/>
    </row>
    <row r="4" spans="1:7" ht="15.75">
      <c r="A4" s="326" t="str">
        <f>'Distrib Class EPMC Rates &amp; Rev'!A4:G4</f>
        <v>SAN DIEGO GAS &amp; ELECTRIC COMPANY ("SDG&amp;E")</v>
      </c>
      <c r="B4" s="326"/>
      <c r="C4" s="326"/>
      <c r="D4" s="326"/>
      <c r="E4" s="326"/>
      <c r="F4" s="326"/>
      <c r="G4" s="326"/>
    </row>
    <row r="5" spans="1:7" ht="15.75">
      <c r="A5" s="326" t="str">
        <f>'Distrib Class EPMC Rates &amp; Rev'!A5:G5</f>
        <v>TEST YEAR ("TY") 2019 GENERAL RATE CASE ("GRC") PHASE 2, APPLICATION ("A.") 19-03-002</v>
      </c>
      <c r="B5" s="326"/>
      <c r="C5" s="326"/>
      <c r="D5" s="326"/>
      <c r="E5" s="326"/>
      <c r="F5" s="326"/>
      <c r="G5" s="326"/>
    </row>
    <row r="6" spans="1:7" ht="15.75">
      <c r="A6" s="326" t="str">
        <f>'Distrib Class EPMC Rates &amp; Rev'!A6:G6</f>
        <v>DISTRIBUTION REVENUE ALLOCATION WORKPAPERS - CHAPTER 5 (SAXE) - REVISED</v>
      </c>
      <c r="B6" s="326"/>
      <c r="C6" s="326"/>
      <c r="D6" s="326"/>
      <c r="E6" s="326"/>
      <c r="F6" s="326"/>
      <c r="G6" s="326"/>
    </row>
    <row r="7" ht="15.75">
      <c r="A7" s="33"/>
    </row>
    <row r="8" spans="1:7" ht="15.75">
      <c r="A8" s="326" t="s">
        <v>94</v>
      </c>
      <c r="B8" s="336"/>
      <c r="C8" s="336"/>
      <c r="D8" s="336"/>
      <c r="E8" s="336"/>
      <c r="F8" s="336"/>
      <c r="G8" s="336"/>
    </row>
    <row r="9" spans="2:6" ht="15.75">
      <c r="B9" s="34"/>
      <c r="C9" s="34"/>
      <c r="D9" s="34"/>
      <c r="E9" s="34"/>
      <c r="F9" s="34"/>
    </row>
    <row r="10" spans="1:7" ht="15.75">
      <c r="A10" s="5"/>
      <c r="B10" s="35"/>
      <c r="C10" s="35" t="s">
        <v>24</v>
      </c>
      <c r="D10" s="35" t="s">
        <v>25</v>
      </c>
      <c r="E10" s="35" t="s">
        <v>27</v>
      </c>
      <c r="F10" s="35" t="s">
        <v>2</v>
      </c>
      <c r="G10" s="5"/>
    </row>
    <row r="11" spans="1:7" ht="15.75">
      <c r="A11" s="5" t="s">
        <v>10</v>
      </c>
      <c r="B11" s="3" t="s">
        <v>26</v>
      </c>
      <c r="C11" s="7" t="s">
        <v>12</v>
      </c>
      <c r="D11" s="7" t="s">
        <v>12</v>
      </c>
      <c r="E11" s="7" t="s">
        <v>12</v>
      </c>
      <c r="F11" s="7" t="s">
        <v>12</v>
      </c>
      <c r="G11" s="5" t="s">
        <v>10</v>
      </c>
    </row>
    <row r="12" spans="1:7" ht="16.5" thickBot="1">
      <c r="A12" s="8" t="s">
        <v>13</v>
      </c>
      <c r="B12" s="9" t="s">
        <v>15</v>
      </c>
      <c r="C12" s="10" t="s">
        <v>16</v>
      </c>
      <c r="D12" s="10" t="s">
        <v>17</v>
      </c>
      <c r="E12" s="10" t="s">
        <v>18</v>
      </c>
      <c r="F12" s="10" t="s">
        <v>19</v>
      </c>
      <c r="G12" s="8" t="s">
        <v>13</v>
      </c>
    </row>
    <row r="13" spans="1:7" ht="15.75">
      <c r="A13" s="5"/>
      <c r="B13" s="35"/>
      <c r="C13" s="35"/>
      <c r="D13" s="35"/>
      <c r="E13" s="35"/>
      <c r="F13" s="35"/>
      <c r="G13" s="5"/>
    </row>
    <row r="14" spans="1:7" ht="16.5" thickBot="1">
      <c r="A14" s="5">
        <v>1</v>
      </c>
      <c r="B14" s="48" t="s">
        <v>48</v>
      </c>
      <c r="C14" s="37"/>
      <c r="D14" s="37"/>
      <c r="E14" s="37"/>
      <c r="F14" s="38"/>
      <c r="G14" s="5">
        <f>G13+1</f>
        <v>1</v>
      </c>
    </row>
    <row r="15" spans="1:7" ht="15.75">
      <c r="A15" s="5">
        <f>A14+1</f>
        <v>2</v>
      </c>
      <c r="B15" s="36"/>
      <c r="C15" s="39"/>
      <c r="D15" s="40"/>
      <c r="E15" s="40"/>
      <c r="F15" s="40"/>
      <c r="G15" s="5">
        <f>G14+1</f>
        <v>2</v>
      </c>
    </row>
    <row r="16" spans="1:7" ht="15.75">
      <c r="A16" s="5">
        <f aca="true" t="shared" si="0" ref="A16:A70">A15+1</f>
        <v>3</v>
      </c>
      <c r="B16" s="28" t="s">
        <v>31</v>
      </c>
      <c r="C16" s="94">
        <f>'Distrib Marginal Cost Summary'!C14*'Distrib System Determinants'!C14/1000</f>
        <v>176612.51798714974</v>
      </c>
      <c r="D16" s="94"/>
      <c r="E16" s="94"/>
      <c r="F16" s="163">
        <f>SUM(C16:E16)</f>
        <v>176612.51798714974</v>
      </c>
      <c r="G16" s="5">
        <f aca="true" t="shared" si="1" ref="G16:G70">G15+1</f>
        <v>3</v>
      </c>
    </row>
    <row r="17" spans="1:7" ht="15.75">
      <c r="A17" s="5">
        <f t="shared" si="0"/>
        <v>4</v>
      </c>
      <c r="B17" s="28" t="s">
        <v>38</v>
      </c>
      <c r="C17" s="94"/>
      <c r="D17" s="94"/>
      <c r="E17" s="94"/>
      <c r="F17" s="163"/>
      <c r="G17" s="5">
        <f t="shared" si="1"/>
        <v>4</v>
      </c>
    </row>
    <row r="18" spans="1:8" ht="15.75">
      <c r="A18" s="5">
        <f t="shared" si="0"/>
        <v>5</v>
      </c>
      <c r="B18" s="22" t="s">
        <v>78</v>
      </c>
      <c r="C18" s="94">
        <f>'Distrib Marginal Cost Summary'!C17*'Distrib System Determinants'!C16/1000</f>
        <v>10677.276408091846</v>
      </c>
      <c r="D18" s="94">
        <f>'Distrib Marginal Cost Summary'!D17*'Distrib System Determinants'!D16/1000</f>
        <v>37.47217597820666</v>
      </c>
      <c r="E18" s="94"/>
      <c r="F18" s="163">
        <f>SUM(C18:E18)</f>
        <v>10714.748584070052</v>
      </c>
      <c r="G18" s="5">
        <f t="shared" si="1"/>
        <v>5</v>
      </c>
      <c r="H18" s="115"/>
    </row>
    <row r="19" spans="1:7" ht="15.75">
      <c r="A19" s="5">
        <f t="shared" si="0"/>
        <v>6</v>
      </c>
      <c r="B19" s="22" t="s">
        <v>75</v>
      </c>
      <c r="C19" s="94">
        <f>'Distrib Marginal Cost Summary'!C18*'Distrib System Determinants'!C17/1000</f>
        <v>22806.469025117636</v>
      </c>
      <c r="D19" s="94">
        <f>'Distrib Marginal Cost Summary'!D18*'Distrib System Determinants'!D17/1000</f>
        <v>7.834654600350199</v>
      </c>
      <c r="E19" s="94"/>
      <c r="F19" s="163">
        <f>SUM(C19:E19)</f>
        <v>22814.303679717985</v>
      </c>
      <c r="G19" s="5">
        <f t="shared" si="1"/>
        <v>6</v>
      </c>
    </row>
    <row r="20" spans="1:7" ht="15.75">
      <c r="A20" s="5">
        <f t="shared" si="0"/>
        <v>7</v>
      </c>
      <c r="B20" s="22" t="s">
        <v>79</v>
      </c>
      <c r="C20" s="94">
        <f>'Distrib Marginal Cost Summary'!C19*'Distrib System Determinants'!C18/1000</f>
        <v>9858.50317253119</v>
      </c>
      <c r="D20" s="94">
        <f>'Distrib Marginal Cost Summary'!D19*'Distrib System Determinants'!D18/1000</f>
        <v>0.8063348781062032</v>
      </c>
      <c r="E20" s="94"/>
      <c r="F20" s="163">
        <f>SUM(C20:E20)</f>
        <v>9859.309507409296</v>
      </c>
      <c r="G20" s="5">
        <f t="shared" si="1"/>
        <v>7</v>
      </c>
    </row>
    <row r="21" spans="1:7" ht="15.75">
      <c r="A21" s="5">
        <f t="shared" si="0"/>
        <v>8</v>
      </c>
      <c r="B21" s="22" t="s">
        <v>76</v>
      </c>
      <c r="C21" s="180">
        <f>'Distrib Marginal Cost Summary'!C20*'Distrib System Determinants'!C19/1000</f>
        <v>1088.8202482065217</v>
      </c>
      <c r="D21" s="180">
        <f>'Distrib Marginal Cost Summary'!D20*'Distrib System Determinants'!D19/1000</f>
        <v>2.1309583549368596</v>
      </c>
      <c r="E21" s="180"/>
      <c r="F21" s="180">
        <f>SUM(C21:E21)</f>
        <v>1090.9512065614585</v>
      </c>
      <c r="G21" s="5">
        <f t="shared" si="1"/>
        <v>8</v>
      </c>
    </row>
    <row r="22" spans="1:8" ht="15.75">
      <c r="A22" s="5">
        <f t="shared" si="0"/>
        <v>9</v>
      </c>
      <c r="B22" s="22" t="s">
        <v>2</v>
      </c>
      <c r="C22" s="94">
        <f>SUM(C18:C21)</f>
        <v>44431.06885394719</v>
      </c>
      <c r="D22" s="94">
        <f>SUM(D18:D21)</f>
        <v>48.24412381159992</v>
      </c>
      <c r="E22" s="94"/>
      <c r="F22" s="94">
        <f>SUM(F18:F21)</f>
        <v>44479.3129777588</v>
      </c>
      <c r="G22" s="5">
        <f t="shared" si="1"/>
        <v>9</v>
      </c>
      <c r="H22" s="194"/>
    </row>
    <row r="23" spans="1:8" ht="15.75">
      <c r="A23" s="5">
        <f t="shared" si="0"/>
        <v>10</v>
      </c>
      <c r="B23" s="36"/>
      <c r="C23" s="94"/>
      <c r="D23" s="94"/>
      <c r="E23" s="94"/>
      <c r="F23" s="163"/>
      <c r="G23" s="5">
        <f t="shared" si="1"/>
        <v>10</v>
      </c>
      <c r="H23" s="115"/>
    </row>
    <row r="24" spans="1:7" ht="15.75">
      <c r="A24" s="5">
        <f t="shared" si="0"/>
        <v>11</v>
      </c>
      <c r="B24" s="70" t="s">
        <v>46</v>
      </c>
      <c r="C24" s="94"/>
      <c r="D24" s="94"/>
      <c r="E24" s="94"/>
      <c r="F24" s="163"/>
      <c r="G24" s="5">
        <f t="shared" si="1"/>
        <v>11</v>
      </c>
    </row>
    <row r="25" spans="1:17" ht="15.75">
      <c r="A25" s="5">
        <f t="shared" si="0"/>
        <v>12</v>
      </c>
      <c r="B25" s="22" t="s">
        <v>77</v>
      </c>
      <c r="C25" s="94">
        <f>'Distrib Marginal Cost Summary'!C23*'Distrib System Determinants'!C23/1000</f>
        <v>34945.97129291014</v>
      </c>
      <c r="D25" s="94">
        <f>'Distrib Marginal Cost Summary'!D23*'Distrib System Determinants'!D23/1000</f>
        <v>133.7376981751776</v>
      </c>
      <c r="E25" s="94">
        <f>'Distrib Marginal Cost Summary'!E23*'Distrib System Determinants'!E23/1000</f>
        <v>69.28994740540125</v>
      </c>
      <c r="F25" s="163">
        <f>SUM(C25:E25)</f>
        <v>35148.99893849072</v>
      </c>
      <c r="G25" s="5">
        <f t="shared" si="1"/>
        <v>12</v>
      </c>
      <c r="H25" s="54"/>
      <c r="I25" s="54"/>
      <c r="J25" s="54"/>
      <c r="K25" s="54"/>
      <c r="L25" s="54"/>
      <c r="M25" s="54"/>
      <c r="N25" s="54"/>
      <c r="O25" s="54"/>
      <c r="P25" s="54"/>
      <c r="Q25" s="54"/>
    </row>
    <row r="26" spans="1:17" ht="15.75">
      <c r="A26" s="5">
        <f t="shared" si="0"/>
        <v>13</v>
      </c>
      <c r="B26" s="22" t="s">
        <v>36</v>
      </c>
      <c r="C26" s="94">
        <f>'Distrib Marginal Cost Summary'!C24*'Distrib System Determinants'!C24/1000</f>
        <v>2498.071088914846</v>
      </c>
      <c r="D26" s="94">
        <f>'Distrib Marginal Cost Summary'!D24*'Distrib System Determinants'!D24/1000</f>
        <v>220.49904803933788</v>
      </c>
      <c r="E26" s="94">
        <f>'Distrib Marginal Cost Summary'!E24*'Distrib System Determinants'!E24/1000</f>
        <v>140.56662327706738</v>
      </c>
      <c r="F26" s="163">
        <f>SUM(C26:E26)</f>
        <v>2859.136760231251</v>
      </c>
      <c r="G26" s="5">
        <f t="shared" si="1"/>
        <v>13</v>
      </c>
      <c r="H26" s="54"/>
      <c r="I26" s="54"/>
      <c r="J26" s="54"/>
      <c r="K26" s="54"/>
      <c r="L26" s="54"/>
      <c r="M26" s="54"/>
      <c r="N26" s="54"/>
      <c r="O26" s="54"/>
      <c r="P26" s="54"/>
      <c r="Q26" s="54"/>
    </row>
    <row r="27" spans="1:17" ht="15.75">
      <c r="A27" s="5">
        <f t="shared" si="0"/>
        <v>14</v>
      </c>
      <c r="B27" s="22" t="s">
        <v>37</v>
      </c>
      <c r="C27" s="164"/>
      <c r="D27" s="164">
        <f>'Distrib Marginal Cost Summary'!D25*'Distrib System Determinants'!D25/1000</f>
        <v>4.673995804669214</v>
      </c>
      <c r="E27" s="164">
        <f>'Distrib Marginal Cost Summary'!E25*'Distrib System Determinants'!E25/1000</f>
        <v>58.078479803540525</v>
      </c>
      <c r="F27" s="165">
        <f>SUM(C27:E27)</f>
        <v>62.752475608209735</v>
      </c>
      <c r="G27" s="5">
        <f t="shared" si="1"/>
        <v>14</v>
      </c>
      <c r="H27" s="54"/>
      <c r="I27" s="54"/>
      <c r="J27" s="54"/>
      <c r="K27" s="54"/>
      <c r="L27" s="54"/>
      <c r="M27" s="54"/>
      <c r="N27" s="54"/>
      <c r="O27" s="54"/>
      <c r="P27" s="54"/>
      <c r="Q27" s="54"/>
    </row>
    <row r="28" spans="1:8" ht="15.75">
      <c r="A28" s="5">
        <f t="shared" si="0"/>
        <v>15</v>
      </c>
      <c r="B28" s="64" t="s">
        <v>2</v>
      </c>
      <c r="C28" s="94">
        <f>SUM(C25:C27)</f>
        <v>37444.042381824984</v>
      </c>
      <c r="D28" s="94">
        <f>SUM(D25:D27)</f>
        <v>358.91074201918474</v>
      </c>
      <c r="E28" s="94">
        <f>SUM(E25:E27)</f>
        <v>267.9350504860092</v>
      </c>
      <c r="F28" s="163">
        <f>SUM(F25:F27)</f>
        <v>38070.88817433018</v>
      </c>
      <c r="G28" s="5">
        <f t="shared" si="1"/>
        <v>15</v>
      </c>
      <c r="H28" s="43"/>
    </row>
    <row r="29" spans="1:8" ht="15.75">
      <c r="A29" s="5">
        <f t="shared" si="0"/>
        <v>16</v>
      </c>
      <c r="B29" s="64"/>
      <c r="C29" s="94"/>
      <c r="D29" s="94"/>
      <c r="E29" s="94"/>
      <c r="F29" s="163"/>
      <c r="G29" s="5">
        <f t="shared" si="1"/>
        <v>16</v>
      </c>
      <c r="H29" s="43"/>
    </row>
    <row r="30" spans="1:7" ht="15.75">
      <c r="A30" s="5">
        <f t="shared" si="0"/>
        <v>17</v>
      </c>
      <c r="B30" s="28" t="s">
        <v>39</v>
      </c>
      <c r="C30" s="94"/>
      <c r="D30" s="94"/>
      <c r="E30" s="94"/>
      <c r="F30" s="163"/>
      <c r="G30" s="5">
        <f t="shared" si="1"/>
        <v>17</v>
      </c>
    </row>
    <row r="31" spans="1:7" ht="15.75">
      <c r="A31" s="5">
        <f t="shared" si="0"/>
        <v>18</v>
      </c>
      <c r="B31" s="22" t="s">
        <v>82</v>
      </c>
      <c r="C31" s="94">
        <f>'Distrib Marginal Cost Summary'!C28*'Distrib System Determinants'!C29/1000</f>
        <v>1086.1580041409125</v>
      </c>
      <c r="D31" s="94">
        <f>'Distrib Marginal Cost Summary'!D28*'Distrib System Determinants'!D29/1000</f>
        <v>1.1157589579194287</v>
      </c>
      <c r="E31" s="94"/>
      <c r="F31" s="163">
        <f>SUM(C31:E31)</f>
        <v>1087.273763098832</v>
      </c>
      <c r="G31" s="5">
        <f t="shared" si="1"/>
        <v>18</v>
      </c>
    </row>
    <row r="32" spans="1:7" ht="15.75">
      <c r="A32" s="5">
        <f t="shared" si="0"/>
        <v>19</v>
      </c>
      <c r="B32" s="22" t="s">
        <v>81</v>
      </c>
      <c r="C32" s="164">
        <f>'Distrib Marginal Cost Summary'!C29*'Distrib System Determinants'!C30/1000</f>
        <v>1278.5751887063766</v>
      </c>
      <c r="D32" s="164">
        <f>'Distrib Marginal Cost Summary'!D29*'Distrib System Determinants'!D30/1000</f>
        <v>7.982211570092153</v>
      </c>
      <c r="E32" s="164"/>
      <c r="F32" s="165">
        <f>SUM(C32:E32)</f>
        <v>1286.5574002764688</v>
      </c>
      <c r="G32" s="5">
        <f t="shared" si="1"/>
        <v>19</v>
      </c>
    </row>
    <row r="33" spans="1:8" ht="15.75">
      <c r="A33" s="5">
        <f>A32+1</f>
        <v>20</v>
      </c>
      <c r="B33" s="22" t="s">
        <v>2</v>
      </c>
      <c r="C33" s="94">
        <f>SUM(C31:C32)</f>
        <v>2364.733192847289</v>
      </c>
      <c r="D33" s="94">
        <f>SUM(D31:D32)</f>
        <v>9.097970528011583</v>
      </c>
      <c r="E33" s="94"/>
      <c r="F33" s="163">
        <f>SUM(F31:F32)</f>
        <v>2373.831163375301</v>
      </c>
      <c r="G33" s="5">
        <f>G32+1</f>
        <v>20</v>
      </c>
      <c r="H33" s="43"/>
    </row>
    <row r="34" spans="1:7" ht="15.75">
      <c r="A34" s="5">
        <f>A33+1</f>
        <v>21</v>
      </c>
      <c r="B34" s="28"/>
      <c r="C34" s="94"/>
      <c r="D34" s="94"/>
      <c r="E34" s="94"/>
      <c r="F34" s="163"/>
      <c r="G34" s="5">
        <f>G33+1</f>
        <v>21</v>
      </c>
    </row>
    <row r="35" spans="1:7" ht="15.75">
      <c r="A35" s="5">
        <f aca="true" t="shared" si="2" ref="A35:A43">A34+1</f>
        <v>22</v>
      </c>
      <c r="B35" s="28" t="s">
        <v>44</v>
      </c>
      <c r="C35" s="94">
        <f>'Distrib Marginal Cost Summary'!C31*'Distrib System Determinants'!C44/1000</f>
        <v>1229.588387049287</v>
      </c>
      <c r="D35" s="94"/>
      <c r="E35" s="94"/>
      <c r="F35" s="163">
        <f>SUM(C35:E35)</f>
        <v>1229.588387049287</v>
      </c>
      <c r="G35" s="5">
        <f aca="true" t="shared" si="3" ref="G35:G42">G34+1</f>
        <v>22</v>
      </c>
    </row>
    <row r="36" spans="1:7" ht="15.75">
      <c r="A36" s="5">
        <f t="shared" si="2"/>
        <v>23</v>
      </c>
      <c r="B36" s="28"/>
      <c r="C36" s="94"/>
      <c r="D36" s="94"/>
      <c r="E36" s="94"/>
      <c r="F36" s="163"/>
      <c r="G36" s="5">
        <f t="shared" si="3"/>
        <v>23</v>
      </c>
    </row>
    <row r="37" spans="1:7" ht="15.75">
      <c r="A37" s="5">
        <f t="shared" si="2"/>
        <v>24</v>
      </c>
      <c r="B37" s="28" t="s">
        <v>149</v>
      </c>
      <c r="C37" s="94"/>
      <c r="D37" s="94"/>
      <c r="E37" s="94"/>
      <c r="F37" s="163"/>
      <c r="G37" s="5">
        <f t="shared" si="3"/>
        <v>24</v>
      </c>
    </row>
    <row r="38" spans="1:7" ht="15.75">
      <c r="A38" s="5">
        <f t="shared" si="2"/>
        <v>25</v>
      </c>
      <c r="B38" s="22" t="s">
        <v>82</v>
      </c>
      <c r="C38" s="94">
        <f>'Distrib Marginal Cost Summary'!C35*'Distrib System Determinants'!C36/1000</f>
        <v>266.737056530141</v>
      </c>
      <c r="D38" s="94">
        <f>'Distrib Marginal Cost Summary'!D35*'Distrib System Determinants'!D36/1000</f>
        <v>2.835777905086073</v>
      </c>
      <c r="E38" s="94"/>
      <c r="F38" s="163">
        <f>SUM(C38:E38)</f>
        <v>269.57283443522704</v>
      </c>
      <c r="G38" s="5">
        <f t="shared" si="3"/>
        <v>25</v>
      </c>
    </row>
    <row r="39" spans="1:7" ht="15.75">
      <c r="A39" s="5">
        <f t="shared" si="2"/>
        <v>26</v>
      </c>
      <c r="B39" s="22" t="s">
        <v>81</v>
      </c>
      <c r="C39" s="94">
        <f>'Distrib Marginal Cost Summary'!C36*'Distrib System Determinants'!C37/1000</f>
        <v>1898.977073789098</v>
      </c>
      <c r="D39" s="94">
        <f>'Distrib Marginal Cost Summary'!D36*'Distrib System Determinants'!D37/1000</f>
        <v>37.75293509958717</v>
      </c>
      <c r="E39" s="94"/>
      <c r="F39" s="163">
        <f>SUM(C39:E39)</f>
        <v>1936.7300088886852</v>
      </c>
      <c r="G39" s="5">
        <f t="shared" si="3"/>
        <v>26</v>
      </c>
    </row>
    <row r="40" spans="1:7" ht="15.75">
      <c r="A40" s="5">
        <f t="shared" si="2"/>
        <v>27</v>
      </c>
      <c r="B40" s="22" t="s">
        <v>44</v>
      </c>
      <c r="C40" s="164">
        <f>'Distrib Marginal Cost Summary'!C38*'Distrib System Determinants'!C45/1000</f>
        <v>2.0927593138259306</v>
      </c>
      <c r="D40" s="164"/>
      <c r="E40" s="164"/>
      <c r="F40" s="165">
        <f>SUM(C40:E40)</f>
        <v>2.0927593138259306</v>
      </c>
      <c r="G40" s="5">
        <f t="shared" si="3"/>
        <v>27</v>
      </c>
    </row>
    <row r="41" spans="1:7" ht="15.75">
      <c r="A41" s="5">
        <f t="shared" si="2"/>
        <v>28</v>
      </c>
      <c r="B41" s="22" t="s">
        <v>2</v>
      </c>
      <c r="C41" s="94">
        <f>SUM(C38:C40)</f>
        <v>2167.806889633065</v>
      </c>
      <c r="D41" s="94">
        <f>SUM(D38:D40)</f>
        <v>40.588713004673245</v>
      </c>
      <c r="E41" s="94"/>
      <c r="F41" s="94">
        <f>SUM(F38:F40)</f>
        <v>2208.395602637738</v>
      </c>
      <c r="G41" s="5">
        <f t="shared" si="3"/>
        <v>28</v>
      </c>
    </row>
    <row r="42" spans="1:7" ht="16.5" thickBot="1">
      <c r="A42" s="5">
        <f t="shared" si="2"/>
        <v>29</v>
      </c>
      <c r="B42" s="28"/>
      <c r="C42" s="181"/>
      <c r="D42" s="181"/>
      <c r="E42" s="181"/>
      <c r="F42" s="182"/>
      <c r="G42" s="5">
        <f t="shared" si="3"/>
        <v>29</v>
      </c>
    </row>
    <row r="43" spans="1:15" ht="16.5" thickTop="1">
      <c r="A43" s="5">
        <f t="shared" si="2"/>
        <v>30</v>
      </c>
      <c r="B43" s="28" t="s">
        <v>40</v>
      </c>
      <c r="C43" s="163">
        <f>C16+C22+C28+C33+C41+C35</f>
        <v>264249.75769245153</v>
      </c>
      <c r="D43" s="163">
        <f>D16+D22+D28+D33+D41+D35</f>
        <v>456.8415493634695</v>
      </c>
      <c r="E43" s="163">
        <f>E16+E22+E28+E33+E41+E35</f>
        <v>267.9350504860092</v>
      </c>
      <c r="F43" s="163">
        <f>F16+F22+F28+F33+F41+F35</f>
        <v>264974.534292301</v>
      </c>
      <c r="G43" s="5">
        <f>G42+1</f>
        <v>30</v>
      </c>
      <c r="H43" s="43"/>
      <c r="L43" s="43"/>
      <c r="M43" s="43"/>
      <c r="N43" s="43"/>
      <c r="O43" s="43"/>
    </row>
    <row r="44" spans="1:7" ht="15.75">
      <c r="A44" s="5">
        <f t="shared" si="0"/>
        <v>31</v>
      </c>
      <c r="B44" s="36"/>
      <c r="C44" s="166"/>
      <c r="D44" s="167"/>
      <c r="E44" s="167"/>
      <c r="F44" s="167"/>
      <c r="G44" s="5">
        <f t="shared" si="1"/>
        <v>31</v>
      </c>
    </row>
    <row r="45" spans="1:7" ht="15.75">
      <c r="A45" s="5">
        <f t="shared" si="0"/>
        <v>32</v>
      </c>
      <c r="B45" s="36"/>
      <c r="C45" s="166"/>
      <c r="D45" s="167"/>
      <c r="E45" s="167"/>
      <c r="F45" s="167"/>
      <c r="G45" s="5">
        <f t="shared" si="1"/>
        <v>32</v>
      </c>
    </row>
    <row r="46" spans="1:7" ht="16.5" thickBot="1">
      <c r="A46" s="5">
        <f t="shared" si="0"/>
        <v>33</v>
      </c>
      <c r="B46" s="48" t="s">
        <v>49</v>
      </c>
      <c r="C46" s="166"/>
      <c r="D46" s="167"/>
      <c r="E46" s="167"/>
      <c r="F46" s="167"/>
      <c r="G46" s="5">
        <f t="shared" si="1"/>
        <v>33</v>
      </c>
    </row>
    <row r="47" spans="1:7" ht="15.75">
      <c r="A47" s="5">
        <f t="shared" si="0"/>
        <v>34</v>
      </c>
      <c r="B47" s="36"/>
      <c r="C47" s="166"/>
      <c r="D47" s="167"/>
      <c r="E47" s="167"/>
      <c r="F47" s="167"/>
      <c r="G47" s="5">
        <f t="shared" si="1"/>
        <v>34</v>
      </c>
    </row>
    <row r="48" spans="1:7" ht="15.75">
      <c r="A48" s="5">
        <f t="shared" si="0"/>
        <v>35</v>
      </c>
      <c r="B48" s="71" t="s">
        <v>50</v>
      </c>
      <c r="C48" s="168"/>
      <c r="D48" s="167"/>
      <c r="E48" s="167"/>
      <c r="F48" s="167"/>
      <c r="G48" s="5">
        <f t="shared" si="1"/>
        <v>35</v>
      </c>
    </row>
    <row r="49" spans="1:11" ht="15.75">
      <c r="A49" s="5">
        <f t="shared" si="0"/>
        <v>36</v>
      </c>
      <c r="B49" s="156" t="s">
        <v>31</v>
      </c>
      <c r="C49" s="94">
        <f>'Distrib Marginal Cost Summary'!C$41*'Distrib System Determinants'!C59*'Distrib System Determinants'!$F70*'Distrib System Determinants'!C$85/12/1000*I59</f>
        <v>136701.9134076643</v>
      </c>
      <c r="D49" s="94"/>
      <c r="E49" s="169"/>
      <c r="F49" s="163">
        <f aca="true" t="shared" si="4" ref="F49:F56">SUM(C49:E49)</f>
        <v>136701.9134076643</v>
      </c>
      <c r="G49" s="5">
        <f t="shared" si="1"/>
        <v>36</v>
      </c>
      <c r="H49" s="83"/>
      <c r="I49" s="83"/>
      <c r="J49" s="171"/>
      <c r="K49" s="185"/>
    </row>
    <row r="50" spans="1:11" ht="15.75">
      <c r="A50" s="5">
        <f t="shared" si="0"/>
        <v>37</v>
      </c>
      <c r="B50" s="28" t="s">
        <v>38</v>
      </c>
      <c r="C50" s="94">
        <f>'Distrib Marginal Cost Summary'!C$41*'Distrib System Determinants'!C60*'Distrib System Determinants'!$F71*'Distrib System Determinants'!C$85/12/1000*I59</f>
        <v>41394.540518997484</v>
      </c>
      <c r="D50" s="94">
        <f>'Distrib Marginal Cost Summary'!D$41*'Distrib System Determinants'!D60*'Distrib System Determinants'!$F71*'Distrib System Determinants'!D$85/12/1000*I59</f>
        <v>408.5421940246927</v>
      </c>
      <c r="E50" s="169"/>
      <c r="F50" s="163">
        <f t="shared" si="4"/>
        <v>41803.08271302218</v>
      </c>
      <c r="G50" s="5">
        <f t="shared" si="1"/>
        <v>37</v>
      </c>
      <c r="H50" s="83"/>
      <c r="I50" s="83"/>
      <c r="J50" s="171"/>
      <c r="K50" s="185"/>
    </row>
    <row r="51" spans="1:11" ht="15.75">
      <c r="A51" s="5">
        <f t="shared" si="0"/>
        <v>38</v>
      </c>
      <c r="B51" s="70" t="s">
        <v>46</v>
      </c>
      <c r="C51" s="94">
        <f>'Distrib Marginal Cost Summary'!C$41*'Distrib System Determinants'!C61*'Distrib System Determinants'!$F72*'Distrib System Determinants'!C$85/12/1000*I59</f>
        <v>107135.69065079307</v>
      </c>
      <c r="D51" s="94">
        <f>'Distrib Marginal Cost Summary'!D$41*'Distrib System Determinants'!D61*'Distrib System Determinants'!$F72*'Distrib System Determinants'!D$85/12/1000*I59</f>
        <v>31516.752614244437</v>
      </c>
      <c r="E51" s="169"/>
      <c r="F51" s="163">
        <f t="shared" si="4"/>
        <v>138652.4432650375</v>
      </c>
      <c r="G51" s="5">
        <f t="shared" si="1"/>
        <v>38</v>
      </c>
      <c r="H51" s="83"/>
      <c r="I51" s="83"/>
      <c r="J51" s="171"/>
      <c r="K51" s="185"/>
    </row>
    <row r="52" spans="1:11" ht="15.75">
      <c r="A52" s="5">
        <f t="shared" si="0"/>
        <v>39</v>
      </c>
      <c r="B52" s="28" t="s">
        <v>39</v>
      </c>
      <c r="C52" s="94">
        <f>'Distrib Marginal Cost Summary'!C$41*'Distrib System Determinants'!C62*'Distrib System Determinants'!$F73*'Distrib System Determinants'!C$85/12/1000*I59</f>
        <v>3935.6114395735945</v>
      </c>
      <c r="D52" s="94">
        <f>'Distrib Marginal Cost Summary'!D$41*'Distrib System Determinants'!D62*'Distrib System Determinants'!$F73*'Distrib System Determinants'!D$85/12/1000*I59</f>
        <v>535.6362583027379</v>
      </c>
      <c r="E52" s="169"/>
      <c r="F52" s="163">
        <f t="shared" si="4"/>
        <v>4471.2476978763325</v>
      </c>
      <c r="G52" s="5">
        <f t="shared" si="1"/>
        <v>39</v>
      </c>
      <c r="H52" s="83"/>
      <c r="I52" s="83"/>
      <c r="J52" s="171"/>
      <c r="K52" s="195"/>
    </row>
    <row r="53" spans="1:11" ht="15.75">
      <c r="A53" s="5">
        <f t="shared" si="0"/>
        <v>40</v>
      </c>
      <c r="B53" s="28" t="s">
        <v>44</v>
      </c>
      <c r="C53" s="94">
        <f>'Distrib Marginal Cost Summary'!C$41*'Distrib System Determinants'!C63*'Distrib System Determinants'!$F74*'Distrib System Determinants'!C$85/12/1000*I59</f>
        <v>674.5533543125159</v>
      </c>
      <c r="D53" s="94"/>
      <c r="E53" s="169"/>
      <c r="F53" s="163">
        <f>SUM(C53:E53)</f>
        <v>674.5533543125159</v>
      </c>
      <c r="G53" s="5">
        <f t="shared" si="1"/>
        <v>40</v>
      </c>
      <c r="H53" s="83"/>
      <c r="I53" s="83"/>
      <c r="J53" s="171"/>
      <c r="K53" s="195"/>
    </row>
    <row r="54" spans="1:11" ht="15.75">
      <c r="A54" s="5">
        <f t="shared" si="0"/>
        <v>41</v>
      </c>
      <c r="B54" s="28" t="s">
        <v>153</v>
      </c>
      <c r="C54" s="94">
        <f>'Distrib Marginal Cost Summary'!C$41*'Distrib System Determinants'!C64*'Distrib System Determinants'!$F75*'Distrib System Determinants'!C$85/12/1000*I59</f>
        <v>5457.20047626653</v>
      </c>
      <c r="D54" s="94">
        <f>'Distrib Marginal Cost Summary'!D$41*'Distrib System Determinants'!D64*'Distrib System Determinants'!$F75*'Distrib System Determinants'!D$85/12/1000*I59</f>
        <v>664.4266081662785</v>
      </c>
      <c r="E54" s="169"/>
      <c r="F54" s="163">
        <f t="shared" si="4"/>
        <v>6121.627084432808</v>
      </c>
      <c r="G54" s="5">
        <f t="shared" si="1"/>
        <v>41</v>
      </c>
      <c r="H54" s="83"/>
      <c r="I54" s="83"/>
      <c r="J54" s="171"/>
      <c r="K54" s="195"/>
    </row>
    <row r="55" spans="1:11" ht="15.75">
      <c r="A55" s="5">
        <f t="shared" si="0"/>
        <v>42</v>
      </c>
      <c r="B55" s="28" t="s">
        <v>154</v>
      </c>
      <c r="C55" s="164">
        <f>'Distrib Marginal Cost Summary'!C$41*'Distrib System Determinants'!C65*'Distrib System Determinants'!$F75*'Distrib System Determinants'!C$85/12/1000*I59</f>
        <v>3.8855961497169185</v>
      </c>
      <c r="D55" s="164"/>
      <c r="E55" s="170"/>
      <c r="F55" s="165">
        <f t="shared" si="4"/>
        <v>3.8855961497169185</v>
      </c>
      <c r="G55" s="5">
        <f t="shared" si="1"/>
        <v>42</v>
      </c>
      <c r="H55" s="83"/>
      <c r="I55" s="83"/>
      <c r="J55" s="171"/>
      <c r="K55" s="195"/>
    </row>
    <row r="56" spans="1:10" ht="15.75">
      <c r="A56" s="5">
        <f t="shared" si="0"/>
        <v>43</v>
      </c>
      <c r="B56" s="28" t="s">
        <v>40</v>
      </c>
      <c r="C56" s="163">
        <f>SUM(C49:C55)</f>
        <v>295303.3954437572</v>
      </c>
      <c r="D56" s="163">
        <f>SUM(D49:D55)</f>
        <v>33125.357674738145</v>
      </c>
      <c r="E56" s="163"/>
      <c r="F56" s="163">
        <f t="shared" si="4"/>
        <v>328428.75311849534</v>
      </c>
      <c r="G56" s="5">
        <f t="shared" si="1"/>
        <v>43</v>
      </c>
      <c r="H56" s="334" t="s">
        <v>96</v>
      </c>
      <c r="I56" s="335"/>
      <c r="J56" s="171"/>
    </row>
    <row r="57" spans="1:9" ht="15.75">
      <c r="A57" s="5">
        <f t="shared" si="0"/>
        <v>44</v>
      </c>
      <c r="B57" s="36"/>
      <c r="C57" s="167"/>
      <c r="D57" s="167"/>
      <c r="E57" s="167"/>
      <c r="F57" s="167"/>
      <c r="G57" s="5">
        <f t="shared" si="1"/>
        <v>44</v>
      </c>
      <c r="H57" s="197" t="s">
        <v>121</v>
      </c>
      <c r="I57" s="198">
        <v>328428.7531184954</v>
      </c>
    </row>
    <row r="58" spans="1:9" ht="15.75">
      <c r="A58" s="5">
        <f t="shared" si="0"/>
        <v>45</v>
      </c>
      <c r="B58" s="50" t="s">
        <v>51</v>
      </c>
      <c r="C58" s="171"/>
      <c r="D58" s="167"/>
      <c r="E58" s="167"/>
      <c r="F58" s="167"/>
      <c r="G58" s="5">
        <f t="shared" si="1"/>
        <v>45</v>
      </c>
      <c r="H58" s="197" t="s">
        <v>97</v>
      </c>
      <c r="I58" s="199">
        <f>F56-I57</f>
        <v>0</v>
      </c>
    </row>
    <row r="59" spans="1:9" ht="15.75">
      <c r="A59" s="5">
        <f t="shared" si="0"/>
        <v>46</v>
      </c>
      <c r="B59" s="36"/>
      <c r="C59" s="167"/>
      <c r="D59" s="167"/>
      <c r="E59" s="167"/>
      <c r="F59" s="167"/>
      <c r="G59" s="5">
        <f t="shared" si="1"/>
        <v>46</v>
      </c>
      <c r="H59" s="200" t="s">
        <v>61</v>
      </c>
      <c r="I59" s="201">
        <v>1.7203353759390605</v>
      </c>
    </row>
    <row r="60" spans="1:11" ht="15.75">
      <c r="A60" s="5">
        <f t="shared" si="0"/>
        <v>47</v>
      </c>
      <c r="B60" s="28" t="s">
        <v>31</v>
      </c>
      <c r="C60" s="94">
        <f>'Distrib Marginal Cost Summary'!$C$43*'Distrib System Determinants'!C59*'Distrib System Determinants'!$F78*'Distrib System Determinants'!C$85/12/1000*I71</f>
        <v>49911.49686708546</v>
      </c>
      <c r="D60" s="94"/>
      <c r="E60" s="169"/>
      <c r="F60" s="163">
        <f aca="true" t="shared" si="5" ref="F60:F67">SUM(C60:E60)</f>
        <v>49911.49686708546</v>
      </c>
      <c r="G60" s="5">
        <f t="shared" si="1"/>
        <v>47</v>
      </c>
      <c r="H60" s="202"/>
      <c r="I60" s="203"/>
      <c r="J60" s="171"/>
      <c r="K60" s="185"/>
    </row>
    <row r="61" spans="1:11" ht="15.75">
      <c r="A61" s="5">
        <f t="shared" si="0"/>
        <v>48</v>
      </c>
      <c r="B61" s="28" t="s">
        <v>38</v>
      </c>
      <c r="C61" s="94">
        <f>'Distrib Marginal Cost Summary'!$C$43*'Distrib System Determinants'!C60*'Distrib System Determinants'!$F79*'Distrib System Determinants'!C$85/12/1000*I71</f>
        <v>15172.350037298807</v>
      </c>
      <c r="D61" s="94">
        <f>'Distrib Marginal Cost Summary'!$C$43*'Distrib System Determinants'!D60*'Distrib System Determinants'!$F79*'Distrib System Determinants'!D$85/12/1000*I71</f>
        <v>149.7430601966446</v>
      </c>
      <c r="E61" s="169"/>
      <c r="F61" s="163">
        <f t="shared" si="5"/>
        <v>15322.093097495452</v>
      </c>
      <c r="G61" s="5">
        <f t="shared" si="1"/>
        <v>48</v>
      </c>
      <c r="H61" s="202"/>
      <c r="I61" s="203"/>
      <c r="J61" s="171"/>
      <c r="K61" s="185"/>
    </row>
    <row r="62" spans="1:11" ht="15.75">
      <c r="A62" s="5">
        <f t="shared" si="0"/>
        <v>49</v>
      </c>
      <c r="B62" s="70" t="s">
        <v>46</v>
      </c>
      <c r="C62" s="94">
        <f>'Distrib Marginal Cost Summary'!$C$43*'Distrib System Determinants'!C61*'Distrib System Determinants'!$F80*'Distrib System Determinants'!C$85/12/1000*I71</f>
        <v>39717.88567744982</v>
      </c>
      <c r="D62" s="94">
        <f>'Distrib Marginal Cost Summary'!$C$43*'Distrib System Determinants'!D61*'Distrib System Determinants'!$F80*'Distrib System Determinants'!D$85/12/1000*I71</f>
        <v>11684.05010182069</v>
      </c>
      <c r="E62" s="169"/>
      <c r="F62" s="163">
        <f t="shared" si="5"/>
        <v>51401.93577927051</v>
      </c>
      <c r="G62" s="5">
        <f t="shared" si="1"/>
        <v>49</v>
      </c>
      <c r="H62" s="202"/>
      <c r="I62" s="203"/>
      <c r="J62" s="171"/>
      <c r="K62" s="185"/>
    </row>
    <row r="63" spans="1:11" ht="15.75">
      <c r="A63" s="5">
        <f t="shared" si="0"/>
        <v>50</v>
      </c>
      <c r="B63" s="28" t="s">
        <v>39</v>
      </c>
      <c r="C63" s="94">
        <f>'Distrib Marginal Cost Summary'!$C$43*'Distrib System Determinants'!C62*'Distrib System Determinants'!$F81*'Distrib System Determinants'!C$85/12/1000*I71</f>
        <v>1482.2135235903834</v>
      </c>
      <c r="D63" s="94">
        <f>'Distrib Marginal Cost Summary'!$C$43*'Distrib System Determinants'!D62*'Distrib System Determinants'!$F81*'Distrib System Determinants'!D$85/12/1000*I71</f>
        <v>201.72908783588872</v>
      </c>
      <c r="E63" s="169"/>
      <c r="F63" s="163">
        <f t="shared" si="5"/>
        <v>1683.9426114262722</v>
      </c>
      <c r="G63" s="5">
        <f t="shared" si="1"/>
        <v>50</v>
      </c>
      <c r="H63" s="202"/>
      <c r="I63" s="203"/>
      <c r="J63" s="171"/>
      <c r="K63" s="185"/>
    </row>
    <row r="64" spans="1:11" ht="15.75">
      <c r="A64" s="5">
        <f t="shared" si="0"/>
        <v>51</v>
      </c>
      <c r="B64" s="28" t="s">
        <v>44</v>
      </c>
      <c r="C64" s="94">
        <f>'Distrib Marginal Cost Summary'!$C$43*'Distrib System Determinants'!C63*'Distrib System Determinants'!$F82*'Distrib System Determinants'!C$85/12/1000*I71</f>
        <v>285.3745297942951</v>
      </c>
      <c r="D64" s="94"/>
      <c r="E64" s="169"/>
      <c r="F64" s="163">
        <f>SUM(C64:E64)</f>
        <v>285.3745297942951</v>
      </c>
      <c r="G64" s="5">
        <f t="shared" si="1"/>
        <v>51</v>
      </c>
      <c r="H64" s="202"/>
      <c r="I64" s="203"/>
      <c r="J64" s="171"/>
      <c r="K64" s="185"/>
    </row>
    <row r="65" spans="1:11" ht="15.75">
      <c r="A65" s="5">
        <f t="shared" si="0"/>
        <v>52</v>
      </c>
      <c r="B65" s="28" t="s">
        <v>153</v>
      </c>
      <c r="C65" s="94">
        <f>'Distrib Marginal Cost Summary'!$C$43*'Distrib System Determinants'!C64*'Distrib System Determinants'!$F83*'Distrib System Determinants'!C$85/12/1000*I71</f>
        <v>2003.6586128833721</v>
      </c>
      <c r="D65" s="94">
        <f>'Distrib Marginal Cost Summary'!$C$43*'Distrib System Determinants'!D64*'Distrib System Determinants'!$F83*'Distrib System Determinants'!D$85/12/1000*I71</f>
        <v>243.95000731071346</v>
      </c>
      <c r="E65" s="169"/>
      <c r="F65" s="163">
        <f t="shared" si="5"/>
        <v>2247.6086201940857</v>
      </c>
      <c r="G65" s="5">
        <f t="shared" si="1"/>
        <v>52</v>
      </c>
      <c r="H65" s="202"/>
      <c r="I65" s="203"/>
      <c r="J65" s="171"/>
      <c r="K65" s="185"/>
    </row>
    <row r="66" spans="1:11" ht="15.75">
      <c r="A66" s="5">
        <f t="shared" si="0"/>
        <v>53</v>
      </c>
      <c r="B66" s="28" t="s">
        <v>154</v>
      </c>
      <c r="C66" s="94">
        <f>'Distrib Marginal Cost Summary'!$C$43*'Distrib System Determinants'!C65*'Distrib System Determinants'!$F83*'Distrib System Determinants'!C$85/12/1000*I71</f>
        <v>1.4266304170839355</v>
      </c>
      <c r="D66" s="94"/>
      <c r="E66" s="169"/>
      <c r="F66" s="163">
        <f t="shared" si="5"/>
        <v>1.4266304170839355</v>
      </c>
      <c r="G66" s="5">
        <f t="shared" si="1"/>
        <v>53</v>
      </c>
      <c r="H66" s="202"/>
      <c r="I66" s="203"/>
      <c r="J66" s="171"/>
      <c r="K66" s="185"/>
    </row>
    <row r="67" spans="1:10" ht="15.75">
      <c r="A67" s="5">
        <f t="shared" si="0"/>
        <v>54</v>
      </c>
      <c r="B67" s="28" t="s">
        <v>40</v>
      </c>
      <c r="C67" s="165">
        <f>SUM(C60:C66)</f>
        <v>108574.40587851922</v>
      </c>
      <c r="D67" s="165">
        <f>SUM(D60:D66)</f>
        <v>12279.472257163938</v>
      </c>
      <c r="E67" s="165"/>
      <c r="F67" s="165">
        <f t="shared" si="5"/>
        <v>120853.87813568316</v>
      </c>
      <c r="G67" s="5">
        <f t="shared" si="1"/>
        <v>54</v>
      </c>
      <c r="J67" s="171"/>
    </row>
    <row r="68" spans="1:10" ht="15.75">
      <c r="A68" s="5">
        <f t="shared" si="0"/>
        <v>55</v>
      </c>
      <c r="B68" s="28" t="s">
        <v>52</v>
      </c>
      <c r="C68" s="172">
        <f>C56+C67</f>
        <v>403877.8013222764</v>
      </c>
      <c r="D68" s="172">
        <f>D56+D67</f>
        <v>45404.82993190208</v>
      </c>
      <c r="E68" s="172"/>
      <c r="F68" s="172">
        <f>F56+F67</f>
        <v>449282.6312541785</v>
      </c>
      <c r="G68" s="5">
        <f t="shared" si="1"/>
        <v>55</v>
      </c>
      <c r="H68" s="334" t="s">
        <v>96</v>
      </c>
      <c r="I68" s="335"/>
      <c r="J68" s="184"/>
    </row>
    <row r="69" spans="1:11" ht="15.75">
      <c r="A69" s="5">
        <f t="shared" si="0"/>
        <v>56</v>
      </c>
      <c r="B69" s="40"/>
      <c r="C69" s="167"/>
      <c r="D69" s="163"/>
      <c r="E69" s="163"/>
      <c r="F69" s="163"/>
      <c r="G69" s="5">
        <f t="shared" si="1"/>
        <v>56</v>
      </c>
      <c r="H69" s="197" t="s">
        <v>122</v>
      </c>
      <c r="I69" s="198">
        <v>120853.87813568318</v>
      </c>
      <c r="J69" s="171"/>
      <c r="K69" s="185"/>
    </row>
    <row r="70" spans="1:11" ht="16.5" thickBot="1">
      <c r="A70" s="5">
        <f t="shared" si="0"/>
        <v>57</v>
      </c>
      <c r="B70" s="28" t="s">
        <v>53</v>
      </c>
      <c r="C70" s="173">
        <f>C43+C68</f>
        <v>668127.559014728</v>
      </c>
      <c r="D70" s="173">
        <f>D43+D68</f>
        <v>45861.67148126555</v>
      </c>
      <c r="E70" s="173">
        <f>E43+E68</f>
        <v>267.9350504860092</v>
      </c>
      <c r="F70" s="173">
        <f>F43+F68</f>
        <v>714257.1655464794</v>
      </c>
      <c r="G70" s="5">
        <f t="shared" si="1"/>
        <v>57</v>
      </c>
      <c r="H70" s="197" t="s">
        <v>97</v>
      </c>
      <c r="I70" s="199">
        <f>F67-I69</f>
        <v>0</v>
      </c>
      <c r="J70" s="171"/>
      <c r="K70" s="185"/>
    </row>
    <row r="71" spans="2:11" ht="15.75" thickTop="1">
      <c r="B71" s="40"/>
      <c r="C71" s="42"/>
      <c r="D71" s="42"/>
      <c r="E71" s="42"/>
      <c r="F71" s="42"/>
      <c r="H71" s="200" t="s">
        <v>61</v>
      </c>
      <c r="I71" s="201">
        <v>1.6984318254093291</v>
      </c>
      <c r="J71" s="171"/>
      <c r="K71" s="185"/>
    </row>
    <row r="72" spans="1:11" ht="15">
      <c r="A72" s="130" t="s">
        <v>35</v>
      </c>
      <c r="B72" s="122"/>
      <c r="C72" s="43"/>
      <c r="D72" s="43"/>
      <c r="E72" s="43"/>
      <c r="F72" s="43"/>
      <c r="J72" s="171"/>
      <c r="K72" s="185"/>
    </row>
    <row r="73" spans="1:11" ht="15">
      <c r="A73" s="122"/>
      <c r="B73" s="122" t="s">
        <v>124</v>
      </c>
      <c r="C73" s="54"/>
      <c r="J73" s="171"/>
      <c r="K73" s="185"/>
    </row>
    <row r="74" spans="1:10" ht="15">
      <c r="A74" s="122"/>
      <c r="B74" s="122" t="s">
        <v>69</v>
      </c>
      <c r="C74" s="54"/>
      <c r="D74" s="54"/>
      <c r="J74" s="171"/>
    </row>
    <row r="75" spans="1:2" ht="15">
      <c r="A75" s="122"/>
      <c r="B75" s="122" t="s">
        <v>70</v>
      </c>
    </row>
    <row r="76" spans="1:2" ht="15">
      <c r="A76" s="122"/>
      <c r="B76" s="122" t="s">
        <v>100</v>
      </c>
    </row>
    <row r="77" spans="1:2" ht="15">
      <c r="A77" s="122"/>
      <c r="B77" s="122" t="s">
        <v>101</v>
      </c>
    </row>
    <row r="78" spans="1:2" ht="15">
      <c r="A78" s="122"/>
      <c r="B78" s="122" t="s">
        <v>102</v>
      </c>
    </row>
    <row r="79" spans="1:2" ht="15">
      <c r="A79" s="122"/>
      <c r="B79" s="122"/>
    </row>
    <row r="81" ht="15">
      <c r="B81" s="44"/>
    </row>
    <row r="93" ht="15">
      <c r="B93" s="44"/>
    </row>
  </sheetData>
  <sheetProtection/>
  <mergeCells count="8">
    <mergeCell ref="H56:I56"/>
    <mergeCell ref="H68:I68"/>
    <mergeCell ref="A1:G1"/>
    <mergeCell ref="A2:G2"/>
    <mergeCell ref="A4:G4"/>
    <mergeCell ref="A5:G5"/>
    <mergeCell ref="A6:G6"/>
    <mergeCell ref="A8:G8"/>
  </mergeCells>
  <printOptions horizontalCentered="1"/>
  <pageMargins left="0.4" right="0.4" top="1" bottom="0.75" header="0.5" footer="0.5"/>
  <pageSetup horizontalDpi="600" verticalDpi="600" orientation="portrait" scale="53" r:id="rId1"/>
  <headerFooter alignWithMargins="0">
    <oddFooter>&amp;L&amp;F
&amp;A&amp;R&amp;P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73"/>
  <sheetViews>
    <sheetView workbookViewId="0" topLeftCell="A1">
      <selection activeCell="A1" sqref="A1:F1"/>
    </sheetView>
  </sheetViews>
  <sheetFormatPr defaultColWidth="9.140625" defaultRowHeight="12.75"/>
  <cols>
    <col min="1" max="1" width="7.7109375" style="31" customWidth="1"/>
    <col min="2" max="2" width="63.140625" style="31" customWidth="1"/>
    <col min="3" max="4" width="15.7109375" style="31" customWidth="1"/>
    <col min="5" max="5" width="16.28125" style="31" bestFit="1" customWidth="1"/>
    <col min="6" max="6" width="7.7109375" style="31" customWidth="1"/>
    <col min="7" max="8" width="9.7109375" style="31" bestFit="1" customWidth="1"/>
    <col min="9" max="16384" width="9.140625" style="31" customWidth="1"/>
  </cols>
  <sheetData>
    <row r="1" spans="1:6" ht="15.75">
      <c r="A1" s="327"/>
      <c r="B1" s="327"/>
      <c r="C1" s="327"/>
      <c r="D1" s="327"/>
      <c r="E1" s="327"/>
      <c r="F1" s="327"/>
    </row>
    <row r="2" spans="1:6" ht="15.75">
      <c r="A2" s="328"/>
      <c r="B2" s="328"/>
      <c r="C2" s="328"/>
      <c r="D2" s="328"/>
      <c r="E2" s="328"/>
      <c r="F2" s="328"/>
    </row>
    <row r="4" spans="1:6" ht="15.75">
      <c r="A4" s="326" t="str">
        <f>'Distrib Class EPMC Rates &amp; Rev'!A4:G4</f>
        <v>SAN DIEGO GAS &amp; ELECTRIC COMPANY ("SDG&amp;E")</v>
      </c>
      <c r="B4" s="326"/>
      <c r="C4" s="326"/>
      <c r="D4" s="326"/>
      <c r="E4" s="326"/>
      <c r="F4" s="326"/>
    </row>
    <row r="5" spans="1:6" ht="15.75">
      <c r="A5" s="326" t="str">
        <f>'Distrib Class EPMC Rates &amp; Rev'!A5:G5</f>
        <v>TEST YEAR ("TY") 2019 GENERAL RATE CASE ("GRC") PHASE 2, APPLICATION ("A.") 19-03-002</v>
      </c>
      <c r="B5" s="326"/>
      <c r="C5" s="326"/>
      <c r="D5" s="326"/>
      <c r="E5" s="326"/>
      <c r="F5" s="326"/>
    </row>
    <row r="6" spans="1:6" ht="15.75">
      <c r="A6" s="326" t="str">
        <f>'Distrib Class EPMC Rates &amp; Rev'!A6:G6</f>
        <v>DISTRIBUTION REVENUE ALLOCATION WORKPAPERS - CHAPTER 5 (SAXE) - REVISED</v>
      </c>
      <c r="B6" s="326"/>
      <c r="C6" s="326"/>
      <c r="D6" s="326"/>
      <c r="E6" s="326"/>
      <c r="F6" s="326"/>
    </row>
    <row r="7" spans="1:6" ht="15.75">
      <c r="A7" s="33"/>
      <c r="B7" s="49"/>
      <c r="C7" s="49"/>
      <c r="D7" s="49"/>
      <c r="E7" s="49"/>
      <c r="F7" s="49"/>
    </row>
    <row r="8" spans="1:6" ht="15.75">
      <c r="A8" s="326" t="s">
        <v>95</v>
      </c>
      <c r="B8" s="336"/>
      <c r="C8" s="336"/>
      <c r="D8" s="336"/>
      <c r="E8" s="336"/>
      <c r="F8" s="336"/>
    </row>
    <row r="9" spans="2:5" ht="15.75">
      <c r="B9" s="45"/>
      <c r="C9" s="45"/>
      <c r="D9" s="45"/>
      <c r="E9" s="45"/>
    </row>
    <row r="10" spans="1:6" ht="15.75">
      <c r="A10" s="5" t="s">
        <v>10</v>
      </c>
      <c r="B10" s="3" t="s">
        <v>26</v>
      </c>
      <c r="C10" s="3" t="s">
        <v>24</v>
      </c>
      <c r="D10" s="3" t="s">
        <v>25</v>
      </c>
      <c r="E10" s="3" t="s">
        <v>27</v>
      </c>
      <c r="F10" s="5" t="s">
        <v>10</v>
      </c>
    </row>
    <row r="11" spans="1:6" ht="16.5" thickBot="1">
      <c r="A11" s="8" t="s">
        <v>13</v>
      </c>
      <c r="B11" s="9" t="s">
        <v>15</v>
      </c>
      <c r="C11" s="9" t="s">
        <v>16</v>
      </c>
      <c r="D11" s="9" t="s">
        <v>17</v>
      </c>
      <c r="E11" s="9" t="s">
        <v>18</v>
      </c>
      <c r="F11" s="8" t="s">
        <v>13</v>
      </c>
    </row>
    <row r="12" spans="1:6" ht="15.75">
      <c r="A12" s="40"/>
      <c r="B12" s="35"/>
      <c r="C12" s="35"/>
      <c r="D12" s="35"/>
      <c r="E12" s="35"/>
      <c r="F12" s="40"/>
    </row>
    <row r="13" spans="1:6" ht="16.5" thickBot="1">
      <c r="A13" s="11">
        <v>1</v>
      </c>
      <c r="B13" s="60" t="s">
        <v>48</v>
      </c>
      <c r="C13" s="37"/>
      <c r="D13" s="37"/>
      <c r="E13" s="37"/>
      <c r="F13" s="11">
        <v>1</v>
      </c>
    </row>
    <row r="14" spans="1:8" ht="15.75">
      <c r="A14" s="11">
        <f>A13+1</f>
        <v>2</v>
      </c>
      <c r="B14" s="28" t="s">
        <v>160</v>
      </c>
      <c r="C14" s="228">
        <v>134.01769600284743</v>
      </c>
      <c r="D14" s="228"/>
      <c r="E14" s="228"/>
      <c r="F14" s="11">
        <f>F13+1</f>
        <v>2</v>
      </c>
      <c r="G14" s="115"/>
      <c r="H14" s="115"/>
    </row>
    <row r="15" spans="1:8" ht="15.75">
      <c r="A15" s="11">
        <f>A14+1</f>
        <v>3</v>
      </c>
      <c r="B15" s="28"/>
      <c r="C15" s="228"/>
      <c r="D15" s="228"/>
      <c r="E15" s="228"/>
      <c r="F15" s="11">
        <f aca="true" t="shared" si="0" ref="F15:F20">F14+1</f>
        <v>3</v>
      </c>
      <c r="G15" s="115"/>
      <c r="H15" s="115"/>
    </row>
    <row r="16" spans="1:7" ht="15.75">
      <c r="A16" s="11">
        <f>A15+1</f>
        <v>4</v>
      </c>
      <c r="B16" s="28" t="s">
        <v>156</v>
      </c>
      <c r="C16" s="228"/>
      <c r="D16" s="228"/>
      <c r="E16" s="228"/>
      <c r="F16" s="11">
        <f t="shared" si="0"/>
        <v>4</v>
      </c>
      <c r="G16" s="115"/>
    </row>
    <row r="17" spans="1:7" ht="15.75">
      <c r="A17" s="11">
        <f>A16+1</f>
        <v>5</v>
      </c>
      <c r="B17" s="59" t="s">
        <v>78</v>
      </c>
      <c r="C17" s="228">
        <v>181.55079649322238</v>
      </c>
      <c r="D17" s="228">
        <v>455.6042985398076</v>
      </c>
      <c r="E17" s="228"/>
      <c r="F17" s="11">
        <f t="shared" si="0"/>
        <v>5</v>
      </c>
      <c r="G17" s="115"/>
    </row>
    <row r="18" spans="1:7" ht="15.75">
      <c r="A18" s="11">
        <f aca="true" t="shared" si="1" ref="A18:A45">A17+1</f>
        <v>6</v>
      </c>
      <c r="B18" s="59" t="s">
        <v>75</v>
      </c>
      <c r="C18" s="228">
        <v>364.5821634322509</v>
      </c>
      <c r="D18" s="228">
        <v>455.60429853980753</v>
      </c>
      <c r="E18" s="228"/>
      <c r="F18" s="11">
        <f t="shared" si="0"/>
        <v>6</v>
      </c>
      <c r="G18" s="115"/>
    </row>
    <row r="19" spans="1:7" ht="15.75">
      <c r="A19" s="11">
        <f t="shared" si="1"/>
        <v>7</v>
      </c>
      <c r="B19" s="59" t="s">
        <v>79</v>
      </c>
      <c r="C19" s="228">
        <v>888.414470937606</v>
      </c>
      <c r="D19" s="228">
        <v>455.6042985398076</v>
      </c>
      <c r="E19" s="228"/>
      <c r="F19" s="11">
        <f t="shared" si="0"/>
        <v>7</v>
      </c>
      <c r="G19" s="115"/>
    </row>
    <row r="20" spans="1:7" ht="15.75">
      <c r="A20" s="11">
        <f t="shared" si="1"/>
        <v>8</v>
      </c>
      <c r="B20" s="59" t="s">
        <v>76</v>
      </c>
      <c r="C20" s="228">
        <v>1339.822508206316</v>
      </c>
      <c r="D20" s="228">
        <v>587.9045310060247</v>
      </c>
      <c r="E20" s="228"/>
      <c r="F20" s="11">
        <f t="shared" si="0"/>
        <v>8</v>
      </c>
      <c r="G20" s="115"/>
    </row>
    <row r="21" spans="1:7" ht="15.75">
      <c r="A21" s="11">
        <f t="shared" si="1"/>
        <v>9</v>
      </c>
      <c r="B21" s="28"/>
      <c r="C21" s="228"/>
      <c r="D21" s="228"/>
      <c r="E21" s="228"/>
      <c r="F21" s="11">
        <f aca="true" t="shared" si="2" ref="F21:F45">F20+1</f>
        <v>9</v>
      </c>
      <c r="G21" s="115"/>
    </row>
    <row r="22" spans="1:7" ht="15.75">
      <c r="A22" s="11">
        <f t="shared" si="1"/>
        <v>10</v>
      </c>
      <c r="B22" s="70" t="s">
        <v>157</v>
      </c>
      <c r="C22" s="229"/>
      <c r="D22" s="228"/>
      <c r="E22" s="228"/>
      <c r="F22" s="11">
        <f t="shared" si="2"/>
        <v>10</v>
      </c>
      <c r="G22" s="115"/>
    </row>
    <row r="23" spans="1:8" ht="15.75">
      <c r="A23" s="11">
        <f t="shared" si="1"/>
        <v>11</v>
      </c>
      <c r="B23" s="59" t="s">
        <v>77</v>
      </c>
      <c r="C23" s="229">
        <v>1808.4041977239492</v>
      </c>
      <c r="D23" s="228">
        <v>896.1366055841579</v>
      </c>
      <c r="E23" s="228">
        <v>6278.886160263161</v>
      </c>
      <c r="F23" s="11">
        <f t="shared" si="2"/>
        <v>11</v>
      </c>
      <c r="G23" s="115"/>
      <c r="H23" s="54"/>
    </row>
    <row r="24" spans="1:8" ht="15.75">
      <c r="A24" s="11">
        <f t="shared" si="1"/>
        <v>12</v>
      </c>
      <c r="B24" s="59" t="s">
        <v>36</v>
      </c>
      <c r="C24" s="229">
        <v>4350.167646417844</v>
      </c>
      <c r="D24" s="228">
        <v>992.5988093940111</v>
      </c>
      <c r="E24" s="228">
        <v>9344.225571003704</v>
      </c>
      <c r="F24" s="11">
        <f t="shared" si="2"/>
        <v>12</v>
      </c>
      <c r="G24" s="115"/>
      <c r="H24" s="54"/>
    </row>
    <row r="25" spans="1:7" ht="15.75">
      <c r="A25" s="11">
        <f t="shared" si="1"/>
        <v>13</v>
      </c>
      <c r="B25" s="63" t="s">
        <v>37</v>
      </c>
      <c r="C25" s="229"/>
      <c r="D25" s="228">
        <v>1270.696795038877</v>
      </c>
      <c r="E25" s="228">
        <v>13450.079920796677</v>
      </c>
      <c r="F25" s="11">
        <f t="shared" si="2"/>
        <v>13</v>
      </c>
      <c r="G25" s="115"/>
    </row>
    <row r="26" spans="1:7" ht="15.75">
      <c r="A26" s="11">
        <f t="shared" si="1"/>
        <v>14</v>
      </c>
      <c r="B26" s="63"/>
      <c r="C26" s="230"/>
      <c r="D26" s="231"/>
      <c r="E26" s="228"/>
      <c r="F26" s="11">
        <f t="shared" si="2"/>
        <v>14</v>
      </c>
      <c r="G26" s="115"/>
    </row>
    <row r="27" spans="1:7" ht="15.75">
      <c r="A27" s="11">
        <f t="shared" si="1"/>
        <v>15</v>
      </c>
      <c r="B27" s="28" t="s">
        <v>158</v>
      </c>
      <c r="C27" s="228"/>
      <c r="D27" s="228"/>
      <c r="E27" s="228"/>
      <c r="F27" s="11">
        <f t="shared" si="2"/>
        <v>15</v>
      </c>
      <c r="G27" s="115"/>
    </row>
    <row r="28" spans="1:7" ht="15.75">
      <c r="A28" s="11">
        <f t="shared" si="1"/>
        <v>16</v>
      </c>
      <c r="B28" s="59" t="s">
        <v>80</v>
      </c>
      <c r="C28" s="228">
        <v>372.62134006939914</v>
      </c>
      <c r="D28" s="228">
        <v>567.1555810172146</v>
      </c>
      <c r="E28" s="228"/>
      <c r="F28" s="11">
        <f t="shared" si="2"/>
        <v>16</v>
      </c>
      <c r="G28" s="115"/>
    </row>
    <row r="29" spans="1:7" ht="15.75">
      <c r="A29" s="11">
        <f t="shared" si="1"/>
        <v>17</v>
      </c>
      <c r="B29" s="59" t="s">
        <v>81</v>
      </c>
      <c r="C29" s="228">
        <v>1271.0520799239325</v>
      </c>
      <c r="D29" s="228">
        <v>654.1182120229591</v>
      </c>
      <c r="E29" s="228"/>
      <c r="F29" s="11">
        <f t="shared" si="2"/>
        <v>17</v>
      </c>
      <c r="G29" s="115"/>
    </row>
    <row r="30" spans="1:7" ht="15.75">
      <c r="A30" s="11">
        <f t="shared" si="1"/>
        <v>18</v>
      </c>
      <c r="B30" s="59"/>
      <c r="C30" s="228"/>
      <c r="D30" s="228"/>
      <c r="E30" s="228"/>
      <c r="F30" s="11">
        <f t="shared" si="2"/>
        <v>18</v>
      </c>
      <c r="G30" s="115"/>
    </row>
    <row r="31" spans="1:7" ht="15.75">
      <c r="A31" s="11">
        <f t="shared" si="1"/>
        <v>19</v>
      </c>
      <c r="B31" s="28" t="s">
        <v>64</v>
      </c>
      <c r="C31" s="228">
        <v>7.637807714693178</v>
      </c>
      <c r="D31" s="228"/>
      <c r="E31" s="228"/>
      <c r="F31" s="11">
        <f t="shared" si="2"/>
        <v>19</v>
      </c>
      <c r="G31" s="115"/>
    </row>
    <row r="32" spans="1:7" ht="15.75">
      <c r="A32" s="11">
        <f t="shared" si="1"/>
        <v>20</v>
      </c>
      <c r="B32" s="59"/>
      <c r="C32" s="228"/>
      <c r="D32" s="228"/>
      <c r="E32" s="228"/>
      <c r="F32" s="11">
        <f t="shared" si="2"/>
        <v>20</v>
      </c>
      <c r="G32" s="115"/>
    </row>
    <row r="33" spans="1:7" ht="15.75">
      <c r="A33" s="11">
        <f t="shared" si="1"/>
        <v>21</v>
      </c>
      <c r="B33" s="28" t="s">
        <v>149</v>
      </c>
      <c r="C33" s="228"/>
      <c r="D33" s="228"/>
      <c r="E33" s="228"/>
      <c r="F33" s="11">
        <f t="shared" si="2"/>
        <v>21</v>
      </c>
      <c r="G33" s="115"/>
    </row>
    <row r="34" spans="1:7" ht="15.75">
      <c r="A34" s="11">
        <f t="shared" si="1"/>
        <v>22</v>
      </c>
      <c r="B34" s="268" t="s">
        <v>159</v>
      </c>
      <c r="C34" s="228"/>
      <c r="D34" s="228"/>
      <c r="E34" s="228"/>
      <c r="F34" s="11">
        <f t="shared" si="2"/>
        <v>22</v>
      </c>
      <c r="G34" s="115"/>
    </row>
    <row r="35" spans="1:7" ht="15.75">
      <c r="A35" s="11">
        <f t="shared" si="1"/>
        <v>23</v>
      </c>
      <c r="B35" s="59" t="s">
        <v>80</v>
      </c>
      <c r="C35" s="228">
        <v>428.5506330648939</v>
      </c>
      <c r="D35" s="228">
        <f>D28</f>
        <v>567.1555810172146</v>
      </c>
      <c r="E35" s="276"/>
      <c r="F35" s="11">
        <f t="shared" si="2"/>
        <v>23</v>
      </c>
      <c r="G35" s="115"/>
    </row>
    <row r="36" spans="1:7" ht="15.75">
      <c r="A36" s="11">
        <f t="shared" si="1"/>
        <v>24</v>
      </c>
      <c r="B36" s="59" t="s">
        <v>81</v>
      </c>
      <c r="C36" s="228">
        <v>2074.113518072823</v>
      </c>
      <c r="D36" s="228">
        <v>890.9225919829471</v>
      </c>
      <c r="E36" s="228"/>
      <c r="F36" s="11">
        <f t="shared" si="2"/>
        <v>24</v>
      </c>
      <c r="G36" s="115"/>
    </row>
    <row r="37" spans="1:7" ht="15.75">
      <c r="A37" s="11">
        <f t="shared" si="1"/>
        <v>25</v>
      </c>
      <c r="B37" s="59"/>
      <c r="C37" s="228"/>
      <c r="D37" s="228"/>
      <c r="E37" s="228"/>
      <c r="F37" s="11">
        <f t="shared" si="2"/>
        <v>25</v>
      </c>
      <c r="G37" s="115"/>
    </row>
    <row r="38" spans="1:7" ht="15.75">
      <c r="A38" s="11">
        <f t="shared" si="1"/>
        <v>26</v>
      </c>
      <c r="B38" s="59" t="s">
        <v>64</v>
      </c>
      <c r="C38" s="228">
        <v>7.637807714693178</v>
      </c>
      <c r="D38" s="276"/>
      <c r="E38" s="228"/>
      <c r="F38" s="11">
        <f t="shared" si="2"/>
        <v>26</v>
      </c>
      <c r="G38" s="115"/>
    </row>
    <row r="39" spans="1:7" ht="15.75">
      <c r="A39" s="11">
        <f t="shared" si="1"/>
        <v>27</v>
      </c>
      <c r="B39" s="59"/>
      <c r="C39" s="228"/>
      <c r="D39" s="228"/>
      <c r="E39" s="228"/>
      <c r="F39" s="11">
        <f t="shared" si="2"/>
        <v>27</v>
      </c>
      <c r="G39" s="115"/>
    </row>
    <row r="40" spans="1:6" ht="16.5" thickBot="1">
      <c r="A40" s="11">
        <f t="shared" si="1"/>
        <v>28</v>
      </c>
      <c r="B40" s="60" t="s">
        <v>47</v>
      </c>
      <c r="C40" s="232"/>
      <c r="D40" s="233"/>
      <c r="E40" s="233"/>
      <c r="F40" s="11">
        <f t="shared" si="2"/>
        <v>28</v>
      </c>
    </row>
    <row r="41" spans="1:7" ht="15.75">
      <c r="A41" s="11">
        <f t="shared" si="1"/>
        <v>29</v>
      </c>
      <c r="B41" s="36" t="s">
        <v>54</v>
      </c>
      <c r="C41" s="228">
        <v>55.87742999705978</v>
      </c>
      <c r="D41" s="228">
        <f>C41</f>
        <v>55.87742999705978</v>
      </c>
      <c r="E41" s="228"/>
      <c r="F41" s="11">
        <f t="shared" si="2"/>
        <v>29</v>
      </c>
      <c r="G41" s="54"/>
    </row>
    <row r="42" spans="1:6" ht="15.75">
      <c r="A42" s="11">
        <f t="shared" si="1"/>
        <v>30</v>
      </c>
      <c r="B42" s="36"/>
      <c r="C42" s="228"/>
      <c r="D42" s="228"/>
      <c r="E42" s="228"/>
      <c r="F42" s="11">
        <f t="shared" si="2"/>
        <v>30</v>
      </c>
    </row>
    <row r="43" spans="1:6" ht="15.75">
      <c r="A43" s="11">
        <f t="shared" si="1"/>
        <v>31</v>
      </c>
      <c r="B43" s="28" t="s">
        <v>65</v>
      </c>
      <c r="C43" s="228">
        <v>22.572127284349843</v>
      </c>
      <c r="D43" s="228">
        <f>C43</f>
        <v>22.572127284349843</v>
      </c>
      <c r="E43" s="228"/>
      <c r="F43" s="11">
        <f t="shared" si="2"/>
        <v>31</v>
      </c>
    </row>
    <row r="44" spans="1:6" ht="15.75">
      <c r="A44" s="11">
        <f t="shared" si="1"/>
        <v>32</v>
      </c>
      <c r="B44" s="36"/>
      <c r="C44" s="109"/>
      <c r="D44" s="108"/>
      <c r="E44" s="108"/>
      <c r="F44" s="11">
        <f t="shared" si="2"/>
        <v>32</v>
      </c>
    </row>
    <row r="45" spans="1:6" ht="15.75">
      <c r="A45" s="11">
        <f t="shared" si="1"/>
        <v>33</v>
      </c>
      <c r="B45" s="36" t="s">
        <v>57</v>
      </c>
      <c r="C45" s="110">
        <f>C41+C43</f>
        <v>78.44955728140962</v>
      </c>
      <c r="D45" s="110">
        <f>D41+D43</f>
        <v>78.44955728140962</v>
      </c>
      <c r="E45" s="108"/>
      <c r="F45" s="11">
        <f t="shared" si="2"/>
        <v>33</v>
      </c>
    </row>
    <row r="46" spans="1:6" ht="15.75">
      <c r="A46" s="11"/>
      <c r="B46" s="36"/>
      <c r="C46" s="110"/>
      <c r="D46" s="110"/>
      <c r="E46" s="108"/>
      <c r="F46" s="11"/>
    </row>
    <row r="47" spans="1:6" ht="15.75">
      <c r="A47" s="141" t="s">
        <v>35</v>
      </c>
      <c r="B47" s="36"/>
      <c r="C47" s="47"/>
      <c r="D47" s="46"/>
      <c r="E47" s="46"/>
      <c r="F47" s="40"/>
    </row>
    <row r="48" spans="2:6" ht="15.75">
      <c r="B48" s="129" t="s">
        <v>161</v>
      </c>
      <c r="C48" s="234"/>
      <c r="D48" s="235"/>
      <c r="E48" s="235"/>
      <c r="F48" s="236"/>
    </row>
    <row r="49" spans="1:6" ht="15.75">
      <c r="A49" s="40"/>
      <c r="B49" s="237" t="s">
        <v>123</v>
      </c>
      <c r="C49" s="238"/>
      <c r="D49" s="235"/>
      <c r="E49" s="235"/>
      <c r="F49" s="236"/>
    </row>
    <row r="50" spans="1:6" ht="15">
      <c r="A50" s="40"/>
      <c r="B50" s="237" t="s">
        <v>165</v>
      </c>
      <c r="C50" s="239"/>
      <c r="D50" s="239"/>
      <c r="E50" s="239"/>
      <c r="F50" s="236"/>
    </row>
    <row r="51" spans="2:5" ht="15">
      <c r="B51" s="129" t="s">
        <v>120</v>
      </c>
      <c r="C51" s="43"/>
      <c r="D51" s="43"/>
      <c r="E51" s="43"/>
    </row>
    <row r="53" ht="15">
      <c r="B53" s="31" t="s">
        <v>22</v>
      </c>
    </row>
    <row r="61" ht="15">
      <c r="B61" s="44"/>
    </row>
    <row r="73" ht="15">
      <c r="B73" s="44"/>
    </row>
  </sheetData>
  <sheetProtection/>
  <mergeCells count="6">
    <mergeCell ref="A4:F4"/>
    <mergeCell ref="A5:F5"/>
    <mergeCell ref="A6:F6"/>
    <mergeCell ref="A8:F8"/>
    <mergeCell ref="A1:F1"/>
    <mergeCell ref="A2:F2"/>
  </mergeCells>
  <printOptions horizontalCentered="1"/>
  <pageMargins left="0.4" right="0.4" top="1" bottom="0.75" header="0.5" footer="0.5"/>
  <pageSetup horizontalDpi="600" verticalDpi="600" orientation="portrait" scale="53" r:id="rId1"/>
  <headerFooter alignWithMargins="0">
    <oddFooter>&amp;L&amp;F
&amp;A&amp;R&amp;P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X121"/>
  <sheetViews>
    <sheetView workbookViewId="0" topLeftCell="A1">
      <selection activeCell="B23" sqref="B23"/>
    </sheetView>
  </sheetViews>
  <sheetFormatPr defaultColWidth="9.140625" defaultRowHeight="12.75"/>
  <cols>
    <col min="1" max="1" width="6.57421875" style="31" bestFit="1" customWidth="1"/>
    <col min="2" max="2" width="80.7109375" style="31" customWidth="1"/>
    <col min="3" max="3" width="21.57421875" style="31" bestFit="1" customWidth="1"/>
    <col min="4" max="4" width="21.140625" style="31" bestFit="1" customWidth="1"/>
    <col min="5" max="5" width="18.421875" style="31" bestFit="1" customWidth="1"/>
    <col min="6" max="6" width="21.7109375" style="31" bestFit="1" customWidth="1"/>
    <col min="7" max="7" width="6.57421875" style="31" bestFit="1" customWidth="1"/>
    <col min="8" max="8" width="17.57421875" style="31" bestFit="1" customWidth="1"/>
    <col min="9" max="9" width="18.28125" style="31" bestFit="1" customWidth="1"/>
    <col min="10" max="10" width="17.57421875" style="31" bestFit="1" customWidth="1"/>
    <col min="11" max="11" width="18.28125" style="31" bestFit="1" customWidth="1"/>
    <col min="12" max="12" width="16.140625" style="31" customWidth="1"/>
    <col min="13" max="13" width="14.28125" style="31" bestFit="1" customWidth="1"/>
    <col min="14" max="14" width="13.7109375" style="31" bestFit="1" customWidth="1"/>
    <col min="15" max="15" width="14.28125" style="31" bestFit="1" customWidth="1"/>
    <col min="16" max="16" width="12.8515625" style="31" customWidth="1"/>
    <col min="17" max="17" width="12.7109375" style="31" bestFit="1" customWidth="1"/>
    <col min="18" max="18" width="14.28125" style="31" bestFit="1" customWidth="1"/>
    <col min="19" max="16384" width="9.140625" style="31" customWidth="1"/>
  </cols>
  <sheetData>
    <row r="1" spans="1:7" ht="15.75">
      <c r="A1" s="327"/>
      <c r="B1" s="327"/>
      <c r="C1" s="327"/>
      <c r="D1" s="327"/>
      <c r="E1" s="327"/>
      <c r="F1" s="327"/>
      <c r="G1" s="327"/>
    </row>
    <row r="2" spans="1:7" ht="15.75">
      <c r="A2" s="328"/>
      <c r="B2" s="328"/>
      <c r="C2" s="328"/>
      <c r="D2" s="328"/>
      <c r="E2" s="328"/>
      <c r="F2" s="328"/>
      <c r="G2" s="328"/>
    </row>
    <row r="4" spans="1:8" ht="15.75">
      <c r="A4" s="326" t="str">
        <f>'Distrib Class EPMC Rates &amp; Rev'!A4:G4</f>
        <v>SAN DIEGO GAS &amp; ELECTRIC COMPANY ("SDG&amp;E")</v>
      </c>
      <c r="B4" s="326"/>
      <c r="C4" s="326"/>
      <c r="D4" s="326"/>
      <c r="E4" s="326"/>
      <c r="F4" s="326"/>
      <c r="G4" s="326"/>
      <c r="H4" s="32"/>
    </row>
    <row r="5" spans="1:8" ht="15.75">
      <c r="A5" s="326" t="str">
        <f>'Distrib Class EPMC Rates &amp; Rev'!A5:G5</f>
        <v>TEST YEAR ("TY") 2019 GENERAL RATE CASE ("GRC") PHASE 2, APPLICATION ("A.") 19-03-002</v>
      </c>
      <c r="B5" s="326"/>
      <c r="C5" s="326"/>
      <c r="D5" s="326"/>
      <c r="E5" s="326"/>
      <c r="F5" s="326"/>
      <c r="G5" s="326"/>
      <c r="H5" s="32"/>
    </row>
    <row r="6" spans="1:8" ht="15.75">
      <c r="A6" s="326" t="str">
        <f>'Distrib Class EPMC Rates &amp; Rev'!A6:G6</f>
        <v>DISTRIBUTION REVENUE ALLOCATION WORKPAPERS - CHAPTER 5 (SAXE) - REVISED</v>
      </c>
      <c r="B6" s="326"/>
      <c r="C6" s="326"/>
      <c r="D6" s="326"/>
      <c r="E6" s="326"/>
      <c r="F6" s="326"/>
      <c r="G6" s="326"/>
      <c r="H6" s="32"/>
    </row>
    <row r="7" spans="1:8" ht="15.75">
      <c r="A7" s="33"/>
      <c r="C7" s="49"/>
      <c r="D7" s="49"/>
      <c r="E7" s="49"/>
      <c r="F7" s="49"/>
      <c r="G7" s="49"/>
      <c r="H7" s="49"/>
    </row>
    <row r="8" spans="1:8" ht="15.75">
      <c r="A8" s="336" t="s">
        <v>58</v>
      </c>
      <c r="B8" s="336"/>
      <c r="C8" s="336"/>
      <c r="D8" s="336"/>
      <c r="E8" s="336"/>
      <c r="F8" s="336"/>
      <c r="G8" s="336"/>
      <c r="H8" s="32"/>
    </row>
    <row r="9" spans="2:6" ht="15.75">
      <c r="B9" s="337"/>
      <c r="C9" s="337"/>
      <c r="D9" s="337"/>
      <c r="E9" s="337"/>
      <c r="F9" s="337"/>
    </row>
    <row r="10" spans="1:7" ht="15.75">
      <c r="A10" s="5" t="s">
        <v>10</v>
      </c>
      <c r="B10" s="3" t="s">
        <v>26</v>
      </c>
      <c r="C10" s="3" t="s">
        <v>24</v>
      </c>
      <c r="D10" s="3" t="s">
        <v>25</v>
      </c>
      <c r="E10" s="3" t="s">
        <v>27</v>
      </c>
      <c r="F10" s="3" t="s">
        <v>2</v>
      </c>
      <c r="G10" s="5" t="s">
        <v>10</v>
      </c>
    </row>
    <row r="11" spans="1:7" ht="16.5" thickBot="1">
      <c r="A11" s="8" t="s">
        <v>13</v>
      </c>
      <c r="B11" s="9" t="s">
        <v>15</v>
      </c>
      <c r="C11" s="9" t="s">
        <v>16</v>
      </c>
      <c r="D11" s="9" t="s">
        <v>17</v>
      </c>
      <c r="E11" s="9" t="s">
        <v>18</v>
      </c>
      <c r="F11" s="9" t="s">
        <v>19</v>
      </c>
      <c r="G11" s="8" t="s">
        <v>13</v>
      </c>
    </row>
    <row r="12" spans="2:6" ht="15.75">
      <c r="B12" s="35"/>
      <c r="C12" s="35"/>
      <c r="D12" s="35"/>
      <c r="E12" s="35"/>
      <c r="F12" s="35"/>
    </row>
    <row r="13" spans="1:7" ht="15.75">
      <c r="A13" s="34">
        <v>1</v>
      </c>
      <c r="B13" s="28" t="s">
        <v>141</v>
      </c>
      <c r="C13" s="37"/>
      <c r="D13" s="37"/>
      <c r="E13" s="37"/>
      <c r="F13" s="38"/>
      <c r="G13" s="34">
        <v>1</v>
      </c>
    </row>
    <row r="14" spans="1:16" ht="15.75">
      <c r="A14" s="34">
        <f>A13+1</f>
        <v>2</v>
      </c>
      <c r="B14" s="12" t="s">
        <v>31</v>
      </c>
      <c r="C14" s="215">
        <v>1317829.8333333333</v>
      </c>
      <c r="D14" s="215"/>
      <c r="E14" s="159"/>
      <c r="F14" s="41">
        <f>SUM(C14:D14)</f>
        <v>1317829.8333333333</v>
      </c>
      <c r="G14" s="34">
        <f>G13+1</f>
        <v>2</v>
      </c>
      <c r="H14" s="113"/>
      <c r="I14" s="83"/>
      <c r="J14" s="310"/>
      <c r="K14" s="54"/>
      <c r="M14" s="43"/>
      <c r="N14" s="43"/>
      <c r="O14" s="43"/>
      <c r="P14" s="43"/>
    </row>
    <row r="15" spans="1:14" ht="15.75">
      <c r="A15" s="34">
        <f>A14+1</f>
        <v>3</v>
      </c>
      <c r="B15" s="12" t="s">
        <v>38</v>
      </c>
      <c r="C15" s="215"/>
      <c r="D15" s="215"/>
      <c r="E15" s="159"/>
      <c r="F15" s="41"/>
      <c r="G15" s="34">
        <f>G14+1</f>
        <v>3</v>
      </c>
      <c r="I15" s="43"/>
      <c r="N15" s="43"/>
    </row>
    <row r="16" spans="1:15" ht="15.75">
      <c r="A16" s="34">
        <f>A15+1</f>
        <v>4</v>
      </c>
      <c r="B16" s="22" t="s">
        <v>78</v>
      </c>
      <c r="C16" s="215">
        <v>58811.509584814456</v>
      </c>
      <c r="D16" s="215">
        <v>82.24719586339152</v>
      </c>
      <c r="E16" s="159"/>
      <c r="F16" s="41">
        <f>SUM(C16:E16)</f>
        <v>58893.756780677846</v>
      </c>
      <c r="G16" s="34">
        <f aca="true" t="shared" si="0" ref="G16:G25">G15+1</f>
        <v>4</v>
      </c>
      <c r="H16" s="43"/>
      <c r="I16" s="43"/>
      <c r="N16" s="43"/>
      <c r="O16" s="43"/>
    </row>
    <row r="17" spans="1:15" ht="15.75">
      <c r="A17" s="34">
        <f>A16+1</f>
        <v>5</v>
      </c>
      <c r="B17" s="22" t="s">
        <v>75</v>
      </c>
      <c r="C17" s="215">
        <v>62555.0872001331</v>
      </c>
      <c r="D17" s="215">
        <v>17.196182357058383</v>
      </c>
      <c r="E17" s="159"/>
      <c r="F17" s="41">
        <f>SUM(C17:E17)</f>
        <v>62572.28338249016</v>
      </c>
      <c r="G17" s="34">
        <f t="shared" si="0"/>
        <v>5</v>
      </c>
      <c r="H17" s="43"/>
      <c r="I17" s="43"/>
      <c r="N17" s="43"/>
      <c r="O17" s="43"/>
    </row>
    <row r="18" spans="1:15" ht="15.75">
      <c r="A18" s="34">
        <f aca="true" t="shared" si="1" ref="A18:A23">A17+1</f>
        <v>6</v>
      </c>
      <c r="B18" s="22" t="s">
        <v>79</v>
      </c>
      <c r="C18" s="215">
        <v>11096.738622601251</v>
      </c>
      <c r="D18" s="215">
        <v>1.7698140265367825</v>
      </c>
      <c r="E18" s="159"/>
      <c r="F18" s="41">
        <f>SUM(C18:E18)</f>
        <v>11098.508436627788</v>
      </c>
      <c r="G18" s="34">
        <f t="shared" si="0"/>
        <v>6</v>
      </c>
      <c r="H18" s="43"/>
      <c r="I18" s="43"/>
      <c r="N18" s="43"/>
      <c r="O18" s="43"/>
    </row>
    <row r="19" spans="1:15" ht="15.75">
      <c r="A19" s="34">
        <f t="shared" si="1"/>
        <v>7</v>
      </c>
      <c r="B19" s="22" t="s">
        <v>76</v>
      </c>
      <c r="C19" s="216">
        <v>812.6600661935266</v>
      </c>
      <c r="D19" s="216">
        <v>3.624667344016476</v>
      </c>
      <c r="E19" s="160"/>
      <c r="F19" s="61">
        <f>SUM(C19:E19)</f>
        <v>816.2847335375432</v>
      </c>
      <c r="G19" s="34">
        <f t="shared" si="0"/>
        <v>7</v>
      </c>
      <c r="H19" s="43"/>
      <c r="I19" s="43"/>
      <c r="N19" s="43"/>
      <c r="O19" s="43"/>
    </row>
    <row r="20" spans="1:16" ht="15.75">
      <c r="A20" s="34">
        <f t="shared" si="1"/>
        <v>8</v>
      </c>
      <c r="B20" s="22" t="s">
        <v>2</v>
      </c>
      <c r="C20" s="29">
        <f>SUM(C16:C19)</f>
        <v>133275.99547374234</v>
      </c>
      <c r="D20" s="29">
        <f>SUM(D16:D19)</f>
        <v>104.83785959100317</v>
      </c>
      <c r="E20" s="29"/>
      <c r="F20" s="41">
        <f>SUM(C20:E20)</f>
        <v>133380.83333333334</v>
      </c>
      <c r="G20" s="34">
        <f t="shared" si="0"/>
        <v>8</v>
      </c>
      <c r="H20" s="43"/>
      <c r="I20" s="43"/>
      <c r="J20" s="43"/>
      <c r="M20" s="43"/>
      <c r="N20" s="43"/>
      <c r="O20" s="43"/>
      <c r="P20" s="43"/>
    </row>
    <row r="21" spans="1:14" ht="15.75">
      <c r="A21" s="34">
        <f t="shared" si="1"/>
        <v>9</v>
      </c>
      <c r="B21" s="40"/>
      <c r="C21" s="159"/>
      <c r="D21" s="159"/>
      <c r="E21" s="159"/>
      <c r="F21" s="41"/>
      <c r="G21" s="34">
        <f t="shared" si="0"/>
        <v>9</v>
      </c>
      <c r="N21" s="43"/>
    </row>
    <row r="22" spans="1:14" ht="15.75">
      <c r="A22" s="34">
        <f t="shared" si="1"/>
        <v>10</v>
      </c>
      <c r="B22" s="12" t="s">
        <v>46</v>
      </c>
      <c r="C22" s="159"/>
      <c r="D22" s="159"/>
      <c r="E22" s="159"/>
      <c r="F22" s="72"/>
      <c r="G22" s="34">
        <f t="shared" si="0"/>
        <v>10</v>
      </c>
      <c r="N22" s="43"/>
    </row>
    <row r="23" spans="1:14" ht="15.75">
      <c r="A23" s="34">
        <f t="shared" si="1"/>
        <v>11</v>
      </c>
      <c r="B23" s="22" t="s">
        <v>77</v>
      </c>
      <c r="C23" s="312">
        <v>19324.203812893713</v>
      </c>
      <c r="D23" s="312">
        <v>149.2380707827452</v>
      </c>
      <c r="E23" s="316">
        <v>11.035388385270098</v>
      </c>
      <c r="F23" s="41">
        <f>SUM(C23:E23)</f>
        <v>19484.47727206173</v>
      </c>
      <c r="G23" s="34">
        <f t="shared" si="0"/>
        <v>11</v>
      </c>
      <c r="I23" s="311"/>
      <c r="J23" s="43"/>
      <c r="K23" s="83"/>
      <c r="L23" s="196"/>
      <c r="M23" s="83"/>
      <c r="N23" s="43"/>
    </row>
    <row r="24" spans="1:14" ht="15.75">
      <c r="A24" s="34">
        <f aca="true" t="shared" si="2" ref="A24:A85">A23+1</f>
        <v>12</v>
      </c>
      <c r="B24" s="22" t="s">
        <v>36</v>
      </c>
      <c r="C24" s="316">
        <v>574.2470847007215</v>
      </c>
      <c r="D24" s="312">
        <v>222.14317199710743</v>
      </c>
      <c r="E24" s="316">
        <v>15.043153893166183</v>
      </c>
      <c r="F24" s="41">
        <f>SUM(C24:E24)</f>
        <v>811.4334105909951</v>
      </c>
      <c r="G24" s="34">
        <f t="shared" si="0"/>
        <v>12</v>
      </c>
      <c r="I24" s="83"/>
      <c r="J24" s="43"/>
      <c r="K24" s="83"/>
      <c r="L24" s="196"/>
      <c r="M24" s="83"/>
      <c r="N24" s="43"/>
    </row>
    <row r="25" spans="1:14" ht="15.75">
      <c r="A25" s="34">
        <f t="shared" si="2"/>
        <v>13</v>
      </c>
      <c r="B25" s="22" t="s">
        <v>37</v>
      </c>
      <c r="C25" s="216"/>
      <c r="D25" s="314">
        <v>3.6782935338451153</v>
      </c>
      <c r="E25" s="317">
        <v>4.318076929322841</v>
      </c>
      <c r="F25" s="61">
        <f>SUM(C25:E25)</f>
        <v>7.996370463167956</v>
      </c>
      <c r="G25" s="34">
        <f t="shared" si="0"/>
        <v>13</v>
      </c>
      <c r="J25" s="43"/>
      <c r="K25" s="83"/>
      <c r="L25" s="196"/>
      <c r="M25" s="83"/>
      <c r="N25" s="43"/>
    </row>
    <row r="26" spans="1:19" ht="15.75">
      <c r="A26" s="34">
        <f t="shared" si="2"/>
        <v>14</v>
      </c>
      <c r="B26" s="64" t="s">
        <v>2</v>
      </c>
      <c r="C26" s="29">
        <f>SUM(C23:C25)</f>
        <v>19898.450897594434</v>
      </c>
      <c r="D26" s="29">
        <f>SUM(D23:D25)</f>
        <v>375.0595363136978</v>
      </c>
      <c r="E26" s="29">
        <f>SUM(E23:E25)</f>
        <v>30.396619207759123</v>
      </c>
      <c r="F26" s="72">
        <f>SUM(F23:F25)</f>
        <v>20303.90705311589</v>
      </c>
      <c r="G26" s="34">
        <f aca="true" t="shared" si="3" ref="G26:G59">G25+1</f>
        <v>14</v>
      </c>
      <c r="H26" s="277"/>
      <c r="I26" s="315"/>
      <c r="J26" s="54"/>
      <c r="K26" s="144"/>
      <c r="L26" s="144"/>
      <c r="M26" s="242"/>
      <c r="N26" s="43"/>
      <c r="O26" s="242"/>
      <c r="P26" s="242"/>
      <c r="Q26" s="43"/>
      <c r="R26" s="43"/>
      <c r="S26" s="43"/>
    </row>
    <row r="27" spans="1:14" ht="15.75">
      <c r="A27" s="34">
        <f t="shared" si="2"/>
        <v>15</v>
      </c>
      <c r="B27" s="64"/>
      <c r="C27" s="111"/>
      <c r="D27" s="111"/>
      <c r="E27" s="111"/>
      <c r="F27" s="41"/>
      <c r="G27" s="34">
        <f t="shared" si="3"/>
        <v>15</v>
      </c>
      <c r="I27" s="113"/>
      <c r="J27" s="43"/>
      <c r="N27" s="43"/>
    </row>
    <row r="28" spans="1:14" ht="15.75">
      <c r="A28" s="34">
        <f t="shared" si="2"/>
        <v>16</v>
      </c>
      <c r="B28" s="12" t="s">
        <v>39</v>
      </c>
      <c r="C28" s="159"/>
      <c r="D28" s="111"/>
      <c r="E28" s="111"/>
      <c r="F28" s="41"/>
      <c r="G28" s="34">
        <f t="shared" si="3"/>
        <v>16</v>
      </c>
      <c r="I28" s="196"/>
      <c r="N28" s="43"/>
    </row>
    <row r="29" spans="1:14" ht="15.75">
      <c r="A29" s="34">
        <f t="shared" si="2"/>
        <v>17</v>
      </c>
      <c r="B29" s="22" t="s">
        <v>82</v>
      </c>
      <c r="C29" s="215">
        <v>2914.910895706135</v>
      </c>
      <c r="D29" s="215">
        <v>1.967289038958717</v>
      </c>
      <c r="E29" s="159"/>
      <c r="F29" s="41">
        <f>SUM(C29:E29)</f>
        <v>2916.8781847450937</v>
      </c>
      <c r="G29" s="34">
        <f t="shared" si="3"/>
        <v>17</v>
      </c>
      <c r="I29" s="43"/>
      <c r="J29" s="43"/>
      <c r="N29" s="43"/>
    </row>
    <row r="30" spans="1:14" ht="15.75">
      <c r="A30" s="34">
        <f t="shared" si="2"/>
        <v>18</v>
      </c>
      <c r="B30" s="22" t="s">
        <v>81</v>
      </c>
      <c r="C30" s="216">
        <v>1005.9188045094851</v>
      </c>
      <c r="D30" s="216">
        <v>12.203010745421627</v>
      </c>
      <c r="E30" s="160"/>
      <c r="F30" s="61">
        <f>SUM(C30:E30)</f>
        <v>1018.1218152549067</v>
      </c>
      <c r="G30" s="34">
        <f t="shared" si="3"/>
        <v>18</v>
      </c>
      <c r="H30" s="113"/>
      <c r="I30" s="43"/>
      <c r="N30" s="43"/>
    </row>
    <row r="31" spans="1:16" ht="15.75">
      <c r="A31" s="34">
        <f t="shared" si="2"/>
        <v>19</v>
      </c>
      <c r="B31" s="22" t="s">
        <v>2</v>
      </c>
      <c r="C31" s="29">
        <f>SUM(C29:C30)</f>
        <v>3920.82970021562</v>
      </c>
      <c r="D31" s="29">
        <f>SUM(D29:D30)</f>
        <v>14.170299784380344</v>
      </c>
      <c r="E31" s="29"/>
      <c r="F31" s="29">
        <f>SUM(F29:F30)</f>
        <v>3935.0000000000005</v>
      </c>
      <c r="G31" s="34">
        <f t="shared" si="3"/>
        <v>19</v>
      </c>
      <c r="I31" s="196"/>
      <c r="J31" s="43"/>
      <c r="M31" s="43"/>
      <c r="N31" s="43"/>
      <c r="O31" s="43"/>
      <c r="P31" s="43"/>
    </row>
    <row r="32" spans="1:16" ht="15.75">
      <c r="A32" s="34">
        <f t="shared" si="2"/>
        <v>20</v>
      </c>
      <c r="B32" s="22"/>
      <c r="C32" s="29"/>
      <c r="D32" s="29"/>
      <c r="E32" s="29"/>
      <c r="F32" s="29"/>
      <c r="G32" s="34">
        <f t="shared" si="3"/>
        <v>20</v>
      </c>
      <c r="I32" s="43"/>
      <c r="M32" s="43"/>
      <c r="N32" s="43"/>
      <c r="O32" s="43"/>
      <c r="P32" s="43"/>
    </row>
    <row r="33" spans="1:16" ht="15.75">
      <c r="A33" s="34">
        <f t="shared" si="2"/>
        <v>21</v>
      </c>
      <c r="B33" s="12" t="s">
        <v>44</v>
      </c>
      <c r="C33" s="215">
        <v>5420.833333333333</v>
      </c>
      <c r="D33" s="270"/>
      <c r="E33" s="111"/>
      <c r="F33" s="41">
        <f>SUM(C33:D33)</f>
        <v>5420.833333333333</v>
      </c>
      <c r="G33" s="34">
        <f t="shared" si="3"/>
        <v>21</v>
      </c>
      <c r="M33" s="43"/>
      <c r="N33" s="43"/>
      <c r="O33" s="43"/>
      <c r="P33" s="43"/>
    </row>
    <row r="34" spans="1:16" ht="15.75">
      <c r="A34" s="34">
        <f t="shared" si="2"/>
        <v>22</v>
      </c>
      <c r="B34" s="22"/>
      <c r="C34" s="29"/>
      <c r="D34" s="29"/>
      <c r="E34" s="29"/>
      <c r="F34" s="29"/>
      <c r="G34" s="34">
        <f t="shared" si="3"/>
        <v>22</v>
      </c>
      <c r="M34" s="43"/>
      <c r="N34" s="43"/>
      <c r="O34" s="43"/>
      <c r="P34" s="43"/>
    </row>
    <row r="35" spans="1:16" ht="15.75">
      <c r="A35" s="34">
        <f t="shared" si="2"/>
        <v>23</v>
      </c>
      <c r="B35" s="12" t="s">
        <v>149</v>
      </c>
      <c r="C35" s="29"/>
      <c r="D35" s="29"/>
      <c r="E35" s="29"/>
      <c r="F35" s="29"/>
      <c r="G35" s="34">
        <f t="shared" si="3"/>
        <v>23</v>
      </c>
      <c r="M35" s="43"/>
      <c r="N35" s="43"/>
      <c r="O35" s="43"/>
      <c r="P35" s="43"/>
    </row>
    <row r="36" spans="1:16" ht="15.75">
      <c r="A36" s="34">
        <f t="shared" si="2"/>
        <v>24</v>
      </c>
      <c r="B36" s="22" t="s">
        <v>82</v>
      </c>
      <c r="C36" s="215">
        <v>622.4166666666665</v>
      </c>
      <c r="D36" s="215">
        <v>5.000000000000001</v>
      </c>
      <c r="E36" s="159"/>
      <c r="F36" s="41">
        <f>SUM(C36:E36)</f>
        <v>627.4166666666665</v>
      </c>
      <c r="G36" s="34">
        <f t="shared" si="3"/>
        <v>24</v>
      </c>
      <c r="M36" s="43"/>
      <c r="N36" s="43"/>
      <c r="O36" s="43"/>
      <c r="P36" s="43"/>
    </row>
    <row r="37" spans="1:16" ht="15.75">
      <c r="A37" s="34">
        <f t="shared" si="2"/>
        <v>25</v>
      </c>
      <c r="B37" s="22" t="s">
        <v>81</v>
      </c>
      <c r="C37" s="215">
        <v>915.5608201973178</v>
      </c>
      <c r="D37" s="215">
        <v>42.375101315547056</v>
      </c>
      <c r="E37" s="159"/>
      <c r="F37" s="41">
        <f>SUM(C37:E37)</f>
        <v>957.9359215128648</v>
      </c>
      <c r="G37" s="34">
        <f t="shared" si="3"/>
        <v>25</v>
      </c>
      <c r="M37" s="43"/>
      <c r="N37" s="43"/>
      <c r="O37" s="43"/>
      <c r="P37" s="43"/>
    </row>
    <row r="38" spans="1:16" ht="15.75">
      <c r="A38" s="34">
        <f t="shared" si="2"/>
        <v>26</v>
      </c>
      <c r="B38" s="22" t="s">
        <v>44</v>
      </c>
      <c r="C38" s="216">
        <v>103</v>
      </c>
      <c r="D38" s="216"/>
      <c r="E38" s="160"/>
      <c r="F38" s="61">
        <f>SUM(C38:E38)</f>
        <v>103</v>
      </c>
      <c r="G38" s="34">
        <f t="shared" si="3"/>
        <v>26</v>
      </c>
      <c r="M38" s="43"/>
      <c r="N38" s="43"/>
      <c r="O38" s="43"/>
      <c r="P38" s="43"/>
    </row>
    <row r="39" spans="1:14" ht="15.75">
      <c r="A39" s="34">
        <f t="shared" si="2"/>
        <v>27</v>
      </c>
      <c r="B39" s="22" t="s">
        <v>2</v>
      </c>
      <c r="C39" s="29">
        <f>SUM(C36:C38)</f>
        <v>1640.9774868639843</v>
      </c>
      <c r="D39" s="29">
        <f>SUM(D36:D38)</f>
        <v>47.375101315547056</v>
      </c>
      <c r="E39" s="29"/>
      <c r="F39" s="29">
        <f>SUM(F36:F38)</f>
        <v>1688.3525881795313</v>
      </c>
      <c r="G39" s="34">
        <f t="shared" si="3"/>
        <v>27</v>
      </c>
      <c r="N39" s="43"/>
    </row>
    <row r="40" spans="1:14" ht="15.75">
      <c r="A40" s="34">
        <f t="shared" si="2"/>
        <v>28</v>
      </c>
      <c r="B40" s="12"/>
      <c r="C40" s="160"/>
      <c r="D40" s="112"/>
      <c r="E40" s="112"/>
      <c r="F40" s="61"/>
      <c r="G40" s="34">
        <f t="shared" si="3"/>
        <v>28</v>
      </c>
      <c r="N40" s="43"/>
    </row>
    <row r="41" spans="1:22" ht="15.75">
      <c r="A41" s="34">
        <f t="shared" si="2"/>
        <v>29</v>
      </c>
      <c r="B41" s="12" t="s">
        <v>83</v>
      </c>
      <c r="C41" s="29">
        <f>C14+C20+C26+C31+C39+C33</f>
        <v>1481986.920225083</v>
      </c>
      <c r="D41" s="29">
        <f>D14+D20+D26+D31+D39+D33</f>
        <v>541.4427970046283</v>
      </c>
      <c r="E41" s="29">
        <f>E14+E20+E26+E31+E39+E33</f>
        <v>30.396619207759123</v>
      </c>
      <c r="F41" s="29">
        <f>F14+F20+F26+F31+F39+F33</f>
        <v>1482558.759641295</v>
      </c>
      <c r="G41" s="34">
        <f t="shared" si="3"/>
        <v>29</v>
      </c>
      <c r="N41" s="43"/>
      <c r="S41" s="43"/>
      <c r="T41" s="43"/>
      <c r="U41" s="43"/>
      <c r="V41" s="43"/>
    </row>
    <row r="42" spans="1:14" ht="15.75">
      <c r="A42" s="34">
        <f t="shared" si="2"/>
        <v>30</v>
      </c>
      <c r="B42" s="12"/>
      <c r="C42" s="29"/>
      <c r="D42" s="29"/>
      <c r="E42" s="29"/>
      <c r="F42" s="29"/>
      <c r="G42" s="34">
        <f t="shared" si="3"/>
        <v>30</v>
      </c>
      <c r="N42" s="43"/>
    </row>
    <row r="43" spans="1:14" ht="15.75">
      <c r="A43" s="34">
        <f t="shared" si="2"/>
        <v>31</v>
      </c>
      <c r="B43" s="12" t="s">
        <v>99</v>
      </c>
      <c r="C43" s="29"/>
      <c r="D43" s="29"/>
      <c r="E43" s="29"/>
      <c r="F43" s="29"/>
      <c r="G43" s="34">
        <f t="shared" si="3"/>
        <v>31</v>
      </c>
      <c r="N43" s="43"/>
    </row>
    <row r="44" spans="1:14" ht="15.75">
      <c r="A44" s="34">
        <f t="shared" si="2"/>
        <v>32</v>
      </c>
      <c r="B44" s="22" t="s">
        <v>150</v>
      </c>
      <c r="C44" s="215">
        <v>160987.08333333334</v>
      </c>
      <c r="D44" s="29"/>
      <c r="E44" s="29"/>
      <c r="F44" s="29"/>
      <c r="G44" s="34">
        <f t="shared" si="3"/>
        <v>32</v>
      </c>
      <c r="N44" s="43"/>
    </row>
    <row r="45" spans="1:14" ht="15.75">
      <c r="A45" s="34">
        <f t="shared" si="2"/>
        <v>33</v>
      </c>
      <c r="B45" s="22" t="s">
        <v>149</v>
      </c>
      <c r="C45" s="216">
        <v>274</v>
      </c>
      <c r="D45" s="29"/>
      <c r="E45" s="29"/>
      <c r="F45" s="29"/>
      <c r="G45" s="34">
        <f t="shared" si="3"/>
        <v>33</v>
      </c>
      <c r="N45" s="43"/>
    </row>
    <row r="46" spans="1:14" ht="15.75">
      <c r="A46" s="34">
        <f t="shared" si="2"/>
        <v>34</v>
      </c>
      <c r="B46" s="22" t="s">
        <v>2</v>
      </c>
      <c r="C46" s="29">
        <f>C44+C45</f>
        <v>161261.08333333334</v>
      </c>
      <c r="D46" s="29"/>
      <c r="E46" s="29"/>
      <c r="F46" s="29"/>
      <c r="G46" s="34">
        <f t="shared" si="3"/>
        <v>34</v>
      </c>
      <c r="N46" s="43"/>
    </row>
    <row r="47" spans="1:14" ht="15.75">
      <c r="A47" s="34">
        <f t="shared" si="2"/>
        <v>35</v>
      </c>
      <c r="B47" s="12"/>
      <c r="C47" s="159"/>
      <c r="D47" s="111"/>
      <c r="E47" s="111"/>
      <c r="F47" s="41"/>
      <c r="G47" s="34">
        <f t="shared" si="3"/>
        <v>35</v>
      </c>
      <c r="N47" s="43"/>
    </row>
    <row r="48" spans="1:14" ht="15.75">
      <c r="A48" s="34">
        <f t="shared" si="2"/>
        <v>36</v>
      </c>
      <c r="B48" s="50" t="s">
        <v>142</v>
      </c>
      <c r="C48" s="159"/>
      <c r="D48" s="111"/>
      <c r="E48" s="111"/>
      <c r="F48" s="41"/>
      <c r="G48" s="34">
        <f t="shared" si="3"/>
        <v>36</v>
      </c>
      <c r="N48" s="43"/>
    </row>
    <row r="49" spans="1:14" ht="15.75">
      <c r="A49" s="34">
        <f t="shared" si="2"/>
        <v>37</v>
      </c>
      <c r="B49" s="12" t="s">
        <v>31</v>
      </c>
      <c r="C49" s="215">
        <v>18669260.21571587</v>
      </c>
      <c r="D49" s="111"/>
      <c r="E49" s="111"/>
      <c r="F49" s="41">
        <f aca="true" t="shared" si="4" ref="F49:F55">SUM(C49:E49)</f>
        <v>18669260.21571587</v>
      </c>
      <c r="G49" s="34">
        <f t="shared" si="3"/>
        <v>37</v>
      </c>
      <c r="H49" s="43"/>
      <c r="I49" s="278"/>
      <c r="J49" s="266"/>
      <c r="K49" s="266"/>
      <c r="L49" s="266"/>
      <c r="N49" s="43"/>
    </row>
    <row r="50" spans="1:17" ht="15.75">
      <c r="A50" s="34">
        <f t="shared" si="2"/>
        <v>38</v>
      </c>
      <c r="B50" s="12" t="s">
        <v>38</v>
      </c>
      <c r="C50" s="215">
        <v>3807029.1756437747</v>
      </c>
      <c r="D50" s="215">
        <v>26930.28077021133</v>
      </c>
      <c r="E50" s="159"/>
      <c r="F50" s="41">
        <f t="shared" si="4"/>
        <v>3833959.456413986</v>
      </c>
      <c r="G50" s="34">
        <f t="shared" si="3"/>
        <v>38</v>
      </c>
      <c r="H50" s="43"/>
      <c r="I50" s="196"/>
      <c r="J50" s="196"/>
      <c r="K50" s="113"/>
      <c r="L50" s="266"/>
      <c r="M50" s="113"/>
      <c r="N50" s="43"/>
      <c r="O50" s="113"/>
      <c r="P50" s="113"/>
      <c r="Q50" s="113"/>
    </row>
    <row r="51" spans="1:17" ht="15.75">
      <c r="A51" s="34">
        <f t="shared" si="2"/>
        <v>39</v>
      </c>
      <c r="B51" s="12" t="s">
        <v>46</v>
      </c>
      <c r="C51" s="313">
        <v>7083819.154385907</v>
      </c>
      <c r="D51" s="313">
        <v>1959909.3045267595</v>
      </c>
      <c r="E51" s="159"/>
      <c r="F51" s="41">
        <f>SUM(C51:E51)</f>
        <v>9043728.458912667</v>
      </c>
      <c r="G51" s="34">
        <f t="shared" si="3"/>
        <v>39</v>
      </c>
      <c r="H51" s="242"/>
      <c r="I51" s="315"/>
      <c r="J51" s="277"/>
      <c r="K51" s="315"/>
      <c r="L51" s="266"/>
      <c r="N51" s="43"/>
      <c r="Q51" s="43"/>
    </row>
    <row r="52" spans="1:14" ht="15.75">
      <c r="A52" s="34">
        <f t="shared" si="2"/>
        <v>40</v>
      </c>
      <c r="B52" s="12" t="s">
        <v>39</v>
      </c>
      <c r="C52" s="227">
        <v>469880.6740370452</v>
      </c>
      <c r="D52" s="227">
        <v>62861.6578996485</v>
      </c>
      <c r="E52" s="159"/>
      <c r="F52" s="41">
        <f t="shared" si="4"/>
        <v>532742.3319366938</v>
      </c>
      <c r="G52" s="34">
        <f t="shared" si="3"/>
        <v>40</v>
      </c>
      <c r="H52" s="242"/>
      <c r="I52" s="319"/>
      <c r="J52" s="319"/>
      <c r="K52" s="319"/>
      <c r="L52" s="266"/>
      <c r="N52" s="43"/>
    </row>
    <row r="53" spans="1:14" ht="15.75">
      <c r="A53" s="34">
        <f t="shared" si="2"/>
        <v>41</v>
      </c>
      <c r="B53" s="12" t="s">
        <v>44</v>
      </c>
      <c r="C53" s="272">
        <v>236762.21787628948</v>
      </c>
      <c r="D53" s="215"/>
      <c r="E53" s="159"/>
      <c r="F53" s="41">
        <f t="shared" si="4"/>
        <v>236762.21787628948</v>
      </c>
      <c r="G53" s="34">
        <f t="shared" si="3"/>
        <v>41</v>
      </c>
      <c r="H53" s="242"/>
      <c r="I53" s="320"/>
      <c r="J53" s="319"/>
      <c r="K53" s="319"/>
      <c r="L53" s="266"/>
      <c r="N53" s="43"/>
    </row>
    <row r="54" spans="1:14" ht="15.75">
      <c r="A54" s="34">
        <f t="shared" si="2"/>
        <v>42</v>
      </c>
      <c r="B54" s="12" t="s">
        <v>153</v>
      </c>
      <c r="C54" s="269">
        <v>410303.4041789269</v>
      </c>
      <c r="D54" s="227">
        <v>50344.38336972143</v>
      </c>
      <c r="E54" s="159"/>
      <c r="F54" s="41">
        <f t="shared" si="4"/>
        <v>460647.7875486483</v>
      </c>
      <c r="G54" s="34">
        <f t="shared" si="3"/>
        <v>42</v>
      </c>
      <c r="H54" s="242"/>
      <c r="I54" s="319"/>
      <c r="J54" s="319"/>
      <c r="K54" s="319"/>
      <c r="L54" s="266"/>
      <c r="N54" s="43"/>
    </row>
    <row r="55" spans="1:14" ht="15.75">
      <c r="A55" s="34">
        <f t="shared" si="2"/>
        <v>43</v>
      </c>
      <c r="B55" s="12" t="s">
        <v>154</v>
      </c>
      <c r="C55" s="271">
        <v>1051.5945246956842</v>
      </c>
      <c r="D55" s="271"/>
      <c r="E55" s="160"/>
      <c r="F55" s="61">
        <f t="shared" si="4"/>
        <v>1051.5945246956842</v>
      </c>
      <c r="G55" s="34">
        <f t="shared" si="3"/>
        <v>43</v>
      </c>
      <c r="H55" s="242"/>
      <c r="I55" s="319"/>
      <c r="J55" s="319"/>
      <c r="K55" s="319"/>
      <c r="L55" s="266"/>
      <c r="N55" s="43"/>
    </row>
    <row r="56" spans="1:24" ht="15.75">
      <c r="A56" s="34">
        <f t="shared" si="2"/>
        <v>44</v>
      </c>
      <c r="B56" s="12" t="s">
        <v>2</v>
      </c>
      <c r="C56" s="219">
        <f>SUM(C49:C55)</f>
        <v>30678106.436362512</v>
      </c>
      <c r="D56" s="219">
        <f>SUM(D49:D55)</f>
        <v>2100045.6265663407</v>
      </c>
      <c r="E56" s="219"/>
      <c r="F56" s="221">
        <f>SUM(F49:F55)</f>
        <v>32778152.06292885</v>
      </c>
      <c r="G56" s="34">
        <f t="shared" si="3"/>
        <v>44</v>
      </c>
      <c r="H56" s="242"/>
      <c r="I56" s="242"/>
      <c r="J56" s="242"/>
      <c r="K56" s="242"/>
      <c r="L56" s="266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</row>
    <row r="57" spans="1:14" ht="15.75">
      <c r="A57" s="34">
        <f t="shared" si="2"/>
        <v>45</v>
      </c>
      <c r="B57" s="12"/>
      <c r="C57" s="159"/>
      <c r="D57" s="111"/>
      <c r="E57" s="111"/>
      <c r="F57" s="41"/>
      <c r="G57" s="34">
        <f t="shared" si="3"/>
        <v>45</v>
      </c>
      <c r="H57" s="242"/>
      <c r="I57" s="144"/>
      <c r="J57" s="144"/>
      <c r="K57" s="144"/>
      <c r="N57" s="43"/>
    </row>
    <row r="58" spans="1:17" ht="15.75">
      <c r="A58" s="34">
        <f t="shared" si="2"/>
        <v>46</v>
      </c>
      <c r="B58" s="50" t="s">
        <v>143</v>
      </c>
      <c r="C58" s="56"/>
      <c r="D58" s="38"/>
      <c r="E58" s="38"/>
      <c r="F58" s="40"/>
      <c r="G58" s="34">
        <f t="shared" si="3"/>
        <v>46</v>
      </c>
      <c r="H58" s="242"/>
      <c r="I58" s="144"/>
      <c r="J58" s="144"/>
      <c r="K58" s="144"/>
      <c r="N58" s="43"/>
      <c r="Q58" s="192"/>
    </row>
    <row r="59" spans="1:18" ht="15.75">
      <c r="A59" s="34">
        <f t="shared" si="2"/>
        <v>47</v>
      </c>
      <c r="B59" s="12" t="s">
        <v>31</v>
      </c>
      <c r="C59" s="215">
        <v>45984509.679757245</v>
      </c>
      <c r="D59" s="215"/>
      <c r="E59" s="159"/>
      <c r="F59" s="72">
        <f aca="true" t="shared" si="5" ref="F59:F65">SUM(C59:D59)</f>
        <v>45984509.679757245</v>
      </c>
      <c r="G59" s="34">
        <f t="shared" si="3"/>
        <v>47</v>
      </c>
      <c r="H59" s="242"/>
      <c r="I59" s="242"/>
      <c r="J59" s="144"/>
      <c r="K59" s="144"/>
      <c r="L59" s="43"/>
      <c r="N59" s="43"/>
      <c r="Q59" s="113"/>
      <c r="R59" s="54"/>
    </row>
    <row r="60" spans="1:18" ht="15.75">
      <c r="A60" s="34">
        <f t="shared" si="2"/>
        <v>48</v>
      </c>
      <c r="B60" s="12" t="s">
        <v>38</v>
      </c>
      <c r="C60" s="215">
        <v>10289024.289784517</v>
      </c>
      <c r="D60" s="215">
        <v>102072.98685481893</v>
      </c>
      <c r="E60" s="159"/>
      <c r="F60" s="72">
        <f t="shared" si="5"/>
        <v>10391097.276639337</v>
      </c>
      <c r="G60" s="34">
        <f aca="true" t="shared" si="6" ref="G60:G85">G59+1</f>
        <v>48</v>
      </c>
      <c r="H60" s="242"/>
      <c r="I60" s="315"/>
      <c r="J60" s="315"/>
      <c r="K60" s="315"/>
      <c r="L60" s="43"/>
      <c r="M60" s="43"/>
      <c r="N60" s="43"/>
      <c r="O60" s="43"/>
      <c r="P60" s="43"/>
      <c r="Q60" s="113"/>
      <c r="R60" s="54"/>
    </row>
    <row r="61" spans="1:18" ht="15.75">
      <c r="A61" s="34">
        <f t="shared" si="2"/>
        <v>49</v>
      </c>
      <c r="B61" s="12" t="s">
        <v>46</v>
      </c>
      <c r="C61" s="318">
        <v>17143321.437666662</v>
      </c>
      <c r="D61" s="313">
        <v>5069265.4978171745</v>
      </c>
      <c r="E61" s="159"/>
      <c r="F61" s="72">
        <f t="shared" si="5"/>
        <v>22212586.935483836</v>
      </c>
      <c r="G61" s="34">
        <f t="shared" si="6"/>
        <v>49</v>
      </c>
      <c r="H61" s="321"/>
      <c r="I61" s="321"/>
      <c r="J61" s="277"/>
      <c r="K61" s="315"/>
      <c r="L61" s="43"/>
      <c r="M61" s="43"/>
      <c r="N61" s="43"/>
      <c r="O61" s="43"/>
      <c r="P61" s="43"/>
      <c r="Q61" s="113"/>
      <c r="R61" s="54"/>
    </row>
    <row r="62" spans="1:18" ht="15.75">
      <c r="A62" s="34">
        <f t="shared" si="2"/>
        <v>50</v>
      </c>
      <c r="B62" s="12" t="s">
        <v>39</v>
      </c>
      <c r="C62" s="227">
        <v>1366013.584983015</v>
      </c>
      <c r="D62" s="227">
        <v>186876.8701845754</v>
      </c>
      <c r="E62" s="159"/>
      <c r="F62" s="72">
        <f t="shared" si="5"/>
        <v>1552890.4551675904</v>
      </c>
      <c r="G62" s="34">
        <f t="shared" si="6"/>
        <v>50</v>
      </c>
      <c r="H62" s="242"/>
      <c r="I62" s="315"/>
      <c r="J62" s="315"/>
      <c r="K62" s="315"/>
      <c r="L62" s="43"/>
      <c r="N62" s="43"/>
      <c r="Q62" s="113"/>
      <c r="R62" s="54"/>
    </row>
    <row r="63" spans="1:18" ht="15.75">
      <c r="A63" s="34">
        <f t="shared" si="2"/>
        <v>51</v>
      </c>
      <c r="B63" s="12" t="s">
        <v>44</v>
      </c>
      <c r="C63" s="272">
        <v>236762.21787628953</v>
      </c>
      <c r="D63" s="215"/>
      <c r="E63" s="159"/>
      <c r="F63" s="72">
        <f t="shared" si="5"/>
        <v>236762.21787628953</v>
      </c>
      <c r="G63" s="34">
        <f t="shared" si="6"/>
        <v>51</v>
      </c>
      <c r="H63" s="242"/>
      <c r="I63" s="315"/>
      <c r="J63" s="315"/>
      <c r="K63" s="315"/>
      <c r="L63" s="43"/>
      <c r="N63" s="43"/>
      <c r="Q63" s="113"/>
      <c r="R63" s="54"/>
    </row>
    <row r="64" spans="1:18" ht="15.75">
      <c r="A64" s="34">
        <f t="shared" si="2"/>
        <v>52</v>
      </c>
      <c r="B64" s="12" t="s">
        <v>153</v>
      </c>
      <c r="C64" s="269">
        <v>1476932.2183486968</v>
      </c>
      <c r="D64" s="227">
        <v>180750.89336739367</v>
      </c>
      <c r="E64" s="159"/>
      <c r="F64" s="72">
        <f t="shared" si="5"/>
        <v>1657683.1117160905</v>
      </c>
      <c r="G64" s="34">
        <f t="shared" si="6"/>
        <v>52</v>
      </c>
      <c r="H64" s="43"/>
      <c r="I64" s="196"/>
      <c r="J64" s="196"/>
      <c r="K64" s="196"/>
      <c r="L64" s="43"/>
      <c r="N64" s="43"/>
      <c r="Q64" s="113"/>
      <c r="R64" s="54"/>
    </row>
    <row r="65" spans="1:18" ht="15.75">
      <c r="A65" s="34">
        <f t="shared" si="2"/>
        <v>53</v>
      </c>
      <c r="B65" s="12" t="s">
        <v>154</v>
      </c>
      <c r="C65" s="271">
        <v>1051.5945246956842</v>
      </c>
      <c r="D65" s="271"/>
      <c r="E65" s="160"/>
      <c r="F65" s="220">
        <f t="shared" si="5"/>
        <v>1051.5945246956842</v>
      </c>
      <c r="G65" s="34">
        <f t="shared" si="6"/>
        <v>53</v>
      </c>
      <c r="H65" s="43"/>
      <c r="I65" s="196"/>
      <c r="J65" s="196"/>
      <c r="K65" s="196"/>
      <c r="L65" s="43"/>
      <c r="N65" s="43"/>
      <c r="Q65" s="113"/>
      <c r="R65" s="54"/>
    </row>
    <row r="66" spans="1:14" ht="15.75">
      <c r="A66" s="34">
        <f t="shared" si="2"/>
        <v>54</v>
      </c>
      <c r="G66" s="34">
        <f t="shared" si="6"/>
        <v>54</v>
      </c>
      <c r="H66" s="43"/>
      <c r="N66" s="43"/>
    </row>
    <row r="67" spans="1:22" ht="15.75">
      <c r="A67" s="34">
        <f t="shared" si="2"/>
        <v>55</v>
      </c>
      <c r="B67" s="12" t="s">
        <v>2</v>
      </c>
      <c r="C67" s="219">
        <f>SUM(C59:C65)</f>
        <v>76497615.02294111</v>
      </c>
      <c r="D67" s="219">
        <f>SUM(D59:D65)</f>
        <v>5538966.248223962</v>
      </c>
      <c r="E67" s="219"/>
      <c r="F67" s="221">
        <f>SUM(F59:F65)</f>
        <v>82036581.27116509</v>
      </c>
      <c r="G67" s="34">
        <f t="shared" si="6"/>
        <v>55</v>
      </c>
      <c r="H67" s="43"/>
      <c r="N67" s="43"/>
      <c r="S67" s="43"/>
      <c r="T67" s="43"/>
      <c r="U67" s="43"/>
      <c r="V67" s="43"/>
    </row>
    <row r="68" spans="1:7" ht="15.75">
      <c r="A68" s="34">
        <f t="shared" si="2"/>
        <v>56</v>
      </c>
      <c r="B68" s="40"/>
      <c r="C68" s="57"/>
      <c r="D68" s="57"/>
      <c r="E68" s="57"/>
      <c r="F68" s="53"/>
      <c r="G68" s="34">
        <f t="shared" si="6"/>
        <v>56</v>
      </c>
    </row>
    <row r="69" spans="1:7" ht="15.75">
      <c r="A69" s="34">
        <f t="shared" si="2"/>
        <v>57</v>
      </c>
      <c r="B69" s="50" t="s">
        <v>73</v>
      </c>
      <c r="C69" s="57"/>
      <c r="D69" s="57"/>
      <c r="E69" s="57"/>
      <c r="F69" s="53"/>
      <c r="G69" s="34">
        <f t="shared" si="6"/>
        <v>57</v>
      </c>
    </row>
    <row r="70" spans="1:9" ht="15.75">
      <c r="A70" s="34">
        <f t="shared" si="2"/>
        <v>58</v>
      </c>
      <c r="B70" s="12" t="s">
        <v>31</v>
      </c>
      <c r="C70" s="57"/>
      <c r="D70" s="57"/>
      <c r="E70" s="57"/>
      <c r="F70" s="224">
        <v>0.34903355201188835</v>
      </c>
      <c r="G70" s="34">
        <f t="shared" si="6"/>
        <v>58</v>
      </c>
      <c r="H70" s="196"/>
      <c r="I70" s="196"/>
    </row>
    <row r="71" spans="1:9" ht="15.75">
      <c r="A71" s="34">
        <f t="shared" si="2"/>
        <v>59</v>
      </c>
      <c r="B71" s="12" t="s">
        <v>38</v>
      </c>
      <c r="C71" s="57"/>
      <c r="D71" s="57"/>
      <c r="E71" s="57"/>
      <c r="F71" s="224">
        <v>0.4723598950471202</v>
      </c>
      <c r="G71" s="34">
        <f t="shared" si="6"/>
        <v>59</v>
      </c>
      <c r="H71" s="196"/>
      <c r="I71" s="196"/>
    </row>
    <row r="72" spans="1:9" ht="15.75">
      <c r="A72" s="34">
        <f t="shared" si="2"/>
        <v>60</v>
      </c>
      <c r="B72" s="12" t="s">
        <v>46</v>
      </c>
      <c r="C72" s="57"/>
      <c r="D72" s="57"/>
      <c r="E72" s="57"/>
      <c r="F72" s="224">
        <v>0.7337419491096627</v>
      </c>
      <c r="G72" s="34">
        <f t="shared" si="6"/>
        <v>60</v>
      </c>
      <c r="H72" s="196"/>
      <c r="I72" s="196"/>
    </row>
    <row r="73" spans="1:9" ht="15.75">
      <c r="A73" s="34">
        <f t="shared" si="2"/>
        <v>61</v>
      </c>
      <c r="B73" s="12" t="s">
        <v>39</v>
      </c>
      <c r="C73" s="57"/>
      <c r="D73" s="57"/>
      <c r="E73" s="57"/>
      <c r="F73" s="224">
        <v>0.3382683301079596</v>
      </c>
      <c r="G73" s="34">
        <f t="shared" si="6"/>
        <v>61</v>
      </c>
      <c r="H73" s="196"/>
      <c r="I73" s="196"/>
    </row>
    <row r="74" spans="1:9" ht="15.75">
      <c r="A74" s="34">
        <f t="shared" si="2"/>
        <v>62</v>
      </c>
      <c r="B74" s="12" t="s">
        <v>44</v>
      </c>
      <c r="C74" s="57"/>
      <c r="D74" s="57"/>
      <c r="E74" s="57"/>
      <c r="F74" s="224">
        <v>0.3345091873871564</v>
      </c>
      <c r="G74" s="34">
        <f t="shared" si="6"/>
        <v>62</v>
      </c>
      <c r="H74" s="196"/>
      <c r="I74" s="196"/>
    </row>
    <row r="75" spans="1:9" ht="15.75">
      <c r="A75" s="34">
        <f t="shared" si="2"/>
        <v>63</v>
      </c>
      <c r="B75" s="12" t="s">
        <v>149</v>
      </c>
      <c r="C75" s="57"/>
      <c r="D75" s="57"/>
      <c r="E75" s="57"/>
      <c r="F75" s="224">
        <v>0.4338239132774366</v>
      </c>
      <c r="G75" s="34">
        <f t="shared" si="6"/>
        <v>63</v>
      </c>
      <c r="I75" s="196"/>
    </row>
    <row r="76" spans="1:9" ht="15.75">
      <c r="A76" s="34">
        <f t="shared" si="2"/>
        <v>64</v>
      </c>
      <c r="B76" s="12"/>
      <c r="C76" s="57"/>
      <c r="D76" s="57"/>
      <c r="E76" s="57"/>
      <c r="F76" s="224"/>
      <c r="G76" s="34">
        <f t="shared" si="6"/>
        <v>64</v>
      </c>
      <c r="I76" s="196"/>
    </row>
    <row r="77" spans="1:9" ht="15.75">
      <c r="A77" s="34">
        <f t="shared" si="2"/>
        <v>65</v>
      </c>
      <c r="B77" s="50" t="s">
        <v>74</v>
      </c>
      <c r="C77" s="57"/>
      <c r="D77" s="57"/>
      <c r="E77" s="57"/>
      <c r="F77" s="225"/>
      <c r="G77" s="34">
        <f t="shared" si="6"/>
        <v>65</v>
      </c>
      <c r="I77" s="196"/>
    </row>
    <row r="78" spans="1:9" ht="15.75">
      <c r="A78" s="34">
        <f t="shared" si="2"/>
        <v>66</v>
      </c>
      <c r="B78" s="12" t="s">
        <v>31</v>
      </c>
      <c r="C78" s="57"/>
      <c r="D78" s="57"/>
      <c r="E78" s="57"/>
      <c r="F78" s="226">
        <v>0.3195377050785357</v>
      </c>
      <c r="G78" s="34">
        <f t="shared" si="6"/>
        <v>66</v>
      </c>
      <c r="H78" s="196"/>
      <c r="I78" s="196"/>
    </row>
    <row r="79" spans="1:9" ht="15.75">
      <c r="A79" s="34">
        <f t="shared" si="2"/>
        <v>67</v>
      </c>
      <c r="B79" s="12" t="s">
        <v>38</v>
      </c>
      <c r="C79" s="57"/>
      <c r="D79" s="57"/>
      <c r="E79" s="57"/>
      <c r="F79" s="226">
        <v>0.43412194314967617</v>
      </c>
      <c r="G79" s="34">
        <f t="shared" si="6"/>
        <v>67</v>
      </c>
      <c r="H79" s="196"/>
      <c r="I79" s="196"/>
    </row>
    <row r="80" spans="1:9" ht="15.75">
      <c r="A80" s="34">
        <f t="shared" si="2"/>
        <v>68</v>
      </c>
      <c r="B80" s="12" t="s">
        <v>46</v>
      </c>
      <c r="C80" s="57"/>
      <c r="D80" s="57"/>
      <c r="E80" s="57"/>
      <c r="F80" s="226">
        <v>0.6820625906677867</v>
      </c>
      <c r="G80" s="34">
        <f t="shared" si="6"/>
        <v>68</v>
      </c>
      <c r="H80" s="196"/>
      <c r="I80" s="196"/>
    </row>
    <row r="81" spans="1:9" ht="15.75">
      <c r="A81" s="34">
        <f t="shared" si="2"/>
        <v>69</v>
      </c>
      <c r="B81" s="12" t="s">
        <v>39</v>
      </c>
      <c r="C81" s="57"/>
      <c r="D81" s="57"/>
      <c r="E81" s="57"/>
      <c r="F81" s="226">
        <v>0.3194396564432003</v>
      </c>
      <c r="G81" s="34">
        <f t="shared" si="6"/>
        <v>69</v>
      </c>
      <c r="H81" s="196"/>
      <c r="I81" s="196"/>
    </row>
    <row r="82" spans="1:9" ht="15.75">
      <c r="A82" s="34">
        <f t="shared" si="2"/>
        <v>70</v>
      </c>
      <c r="B82" s="12" t="s">
        <v>44</v>
      </c>
      <c r="C82" s="57"/>
      <c r="D82" s="57"/>
      <c r="E82" s="57"/>
      <c r="F82" s="226">
        <v>0.35484270924009675</v>
      </c>
      <c r="G82" s="34">
        <f t="shared" si="6"/>
        <v>70</v>
      </c>
      <c r="H82" s="196"/>
      <c r="I82" s="196"/>
    </row>
    <row r="83" spans="1:9" ht="15.75">
      <c r="A83" s="34">
        <f t="shared" si="2"/>
        <v>71</v>
      </c>
      <c r="B83" s="12" t="s">
        <v>149</v>
      </c>
      <c r="C83" s="57"/>
      <c r="D83" s="57"/>
      <c r="E83" s="57"/>
      <c r="F83" s="226">
        <v>0.39938912958383627</v>
      </c>
      <c r="G83" s="34">
        <f t="shared" si="6"/>
        <v>71</v>
      </c>
      <c r="H83" s="196"/>
      <c r="I83" s="196"/>
    </row>
    <row r="84" spans="1:7" ht="15.75">
      <c r="A84" s="34">
        <f t="shared" si="2"/>
        <v>72</v>
      </c>
      <c r="B84" s="12"/>
      <c r="C84" s="57"/>
      <c r="D84" s="57"/>
      <c r="E84" s="57"/>
      <c r="F84" s="178"/>
      <c r="G84" s="34">
        <f t="shared" si="6"/>
        <v>72</v>
      </c>
    </row>
    <row r="85" spans="1:7" ht="15.75">
      <c r="A85" s="34">
        <f t="shared" si="2"/>
        <v>73</v>
      </c>
      <c r="B85" s="28" t="s">
        <v>68</v>
      </c>
      <c r="C85" s="217">
        <v>1.0632308253590779</v>
      </c>
      <c r="D85" s="217">
        <v>1.0577542502878234</v>
      </c>
      <c r="E85" s="155"/>
      <c r="F85" s="53"/>
      <c r="G85" s="34">
        <f t="shared" si="6"/>
        <v>73</v>
      </c>
    </row>
    <row r="86" spans="1:7" ht="15.75">
      <c r="A86" s="34"/>
      <c r="B86" s="28"/>
      <c r="C86" s="179"/>
      <c r="D86" s="179"/>
      <c r="E86" s="155"/>
      <c r="F86" s="53"/>
      <c r="G86" s="34"/>
    </row>
    <row r="87" spans="1:7" ht="15.75">
      <c r="A87" s="153" t="s">
        <v>35</v>
      </c>
      <c r="B87" s="140"/>
      <c r="C87" s="193"/>
      <c r="D87" s="193"/>
      <c r="E87" s="40"/>
      <c r="F87" s="145"/>
      <c r="G87" s="34"/>
    </row>
    <row r="88" spans="1:7" ht="15.75">
      <c r="A88" s="153"/>
      <c r="B88" s="139" t="s">
        <v>125</v>
      </c>
      <c r="C88" s="322"/>
      <c r="D88" s="222"/>
      <c r="E88" s="72"/>
      <c r="F88" s="72"/>
      <c r="G88" s="34"/>
    </row>
    <row r="89" spans="1:7" ht="15.75">
      <c r="A89" s="153"/>
      <c r="B89" s="129" t="s">
        <v>126</v>
      </c>
      <c r="C89" s="322"/>
      <c r="D89" s="222"/>
      <c r="E89" s="72"/>
      <c r="F89" s="72"/>
      <c r="G89" s="34"/>
    </row>
    <row r="90" spans="1:7" ht="15.75">
      <c r="A90" s="153"/>
      <c r="B90" s="129" t="s">
        <v>146</v>
      </c>
      <c r="C90" s="322"/>
      <c r="D90" s="222"/>
      <c r="E90" s="72"/>
      <c r="F90" s="236"/>
      <c r="G90" s="34"/>
    </row>
    <row r="91" spans="1:7" ht="15.75">
      <c r="A91" s="153"/>
      <c r="B91" s="129" t="s">
        <v>190</v>
      </c>
      <c r="C91" s="322"/>
      <c r="D91" s="222"/>
      <c r="E91" s="72"/>
      <c r="F91" s="72"/>
      <c r="G91" s="34"/>
    </row>
    <row r="92" spans="1:7" ht="15.75">
      <c r="A92" s="34"/>
      <c r="B92" s="129" t="s">
        <v>127</v>
      </c>
      <c r="C92" s="322"/>
      <c r="D92" s="222"/>
      <c r="E92" s="72"/>
      <c r="F92" s="236"/>
      <c r="G92" s="34"/>
    </row>
    <row r="93" spans="1:7" ht="15.75">
      <c r="A93" s="34"/>
      <c r="B93" s="129" t="s">
        <v>119</v>
      </c>
      <c r="C93" s="322"/>
      <c r="D93" s="222"/>
      <c r="E93" s="72"/>
      <c r="F93" s="236"/>
      <c r="G93" s="34"/>
    </row>
    <row r="94" spans="1:7" ht="15.75">
      <c r="A94" s="34"/>
      <c r="B94" s="129" t="s">
        <v>191</v>
      </c>
      <c r="C94" s="323"/>
      <c r="D94" s="222"/>
      <c r="E94" s="72"/>
      <c r="F94" s="72"/>
      <c r="G94" s="34"/>
    </row>
    <row r="95" spans="1:7" ht="15.75">
      <c r="A95" s="34"/>
      <c r="B95" s="129"/>
      <c r="C95" s="222"/>
      <c r="D95" s="222"/>
      <c r="E95" s="72"/>
      <c r="F95" s="236"/>
      <c r="G95" s="34"/>
    </row>
    <row r="96" spans="1:7" ht="15.75">
      <c r="A96" s="34"/>
      <c r="B96" s="129"/>
      <c r="C96" s="52"/>
      <c r="D96" s="52"/>
      <c r="E96" s="41"/>
      <c r="F96" s="41"/>
      <c r="G96" s="34"/>
    </row>
    <row r="97" spans="2:6" ht="15">
      <c r="B97" s="40"/>
      <c r="C97" s="42"/>
      <c r="D97" s="42"/>
      <c r="E97" s="42"/>
      <c r="F97" s="42"/>
    </row>
    <row r="98" spans="2:6" ht="15">
      <c r="B98" s="40"/>
      <c r="C98" s="42"/>
      <c r="D98" s="42"/>
      <c r="E98" s="42"/>
      <c r="F98" s="42"/>
    </row>
    <row r="99" spans="3:6" ht="15">
      <c r="C99" s="43"/>
      <c r="D99" s="43"/>
      <c r="E99" s="43"/>
      <c r="F99" s="43"/>
    </row>
    <row r="101" ht="15">
      <c r="B101" s="31" t="s">
        <v>22</v>
      </c>
    </row>
    <row r="109" ht="15">
      <c r="B109" s="44"/>
    </row>
    <row r="121" ht="15">
      <c r="B121" s="44"/>
    </row>
  </sheetData>
  <sheetProtection/>
  <mergeCells count="7">
    <mergeCell ref="B9:F9"/>
    <mergeCell ref="A8:G8"/>
    <mergeCell ref="A4:G4"/>
    <mergeCell ref="A5:G5"/>
    <mergeCell ref="A6:G6"/>
    <mergeCell ref="A1:G1"/>
    <mergeCell ref="A2:G2"/>
  </mergeCells>
  <printOptions horizontalCentered="1"/>
  <pageMargins left="0.4" right="0.4" top="1" bottom="0.75" header="0.5" footer="0.5"/>
  <pageSetup horizontalDpi="600" verticalDpi="600" orientation="portrait" scale="53" r:id="rId1"/>
  <headerFooter alignWithMargins="0">
    <oddFooter>&amp;L&amp;F
&amp;A&amp;R&amp;P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R34"/>
  <sheetViews>
    <sheetView workbookViewId="0" topLeftCell="A1">
      <selection activeCell="J17" sqref="J17"/>
    </sheetView>
  </sheetViews>
  <sheetFormatPr defaultColWidth="9.140625" defaultRowHeight="12.75"/>
  <cols>
    <col min="1" max="1" width="10.7109375" style="0" customWidth="1"/>
    <col min="2" max="2" width="50.7109375" style="0" customWidth="1"/>
    <col min="3" max="3" width="30.7109375" style="0" customWidth="1"/>
    <col min="4" max="4" width="17.7109375" style="0" customWidth="1"/>
    <col min="5" max="5" width="10.7109375" style="0" customWidth="1"/>
  </cols>
  <sheetData>
    <row r="2" spans="1:5" ht="15.75">
      <c r="A2" s="327"/>
      <c r="B2" s="327"/>
      <c r="C2" s="327"/>
      <c r="D2" s="327"/>
      <c r="E2" s="327"/>
    </row>
    <row r="3" spans="1:5" ht="15.75">
      <c r="A3" s="328"/>
      <c r="B3" s="328"/>
      <c r="C3" s="328"/>
      <c r="D3" s="328"/>
      <c r="E3" s="328"/>
    </row>
    <row r="4" spans="1:5" ht="15.75">
      <c r="A4" s="326" t="str">
        <f>'Distrib Class EPMC Rates &amp; Rev'!A4:G4</f>
        <v>SAN DIEGO GAS &amp; ELECTRIC COMPANY ("SDG&amp;E")</v>
      </c>
      <c r="B4" s="326"/>
      <c r="C4" s="326"/>
      <c r="D4" s="326"/>
      <c r="E4" s="326"/>
    </row>
    <row r="5" spans="1:5" ht="15.75">
      <c r="A5" s="326" t="str">
        <f>'Distrib Class EPMC Rates &amp; Rev'!A5:G5</f>
        <v>TEST YEAR ("TY") 2019 GENERAL RATE CASE ("GRC") PHASE 2, APPLICATION ("A.") 19-03-002</v>
      </c>
      <c r="B5" s="326"/>
      <c r="C5" s="326"/>
      <c r="D5" s="326"/>
      <c r="E5" s="326"/>
    </row>
    <row r="6" spans="1:5" ht="15.75">
      <c r="A6" s="326" t="str">
        <f>'Distrib Class EPMC Rates &amp; Rev'!A6:G6</f>
        <v>DISTRIBUTION REVENUE ALLOCATION WORKPAPERS - CHAPTER 5 (SAXE) - REVISED</v>
      </c>
      <c r="B6" s="326"/>
      <c r="C6" s="326"/>
      <c r="D6" s="326"/>
      <c r="E6" s="326"/>
    </row>
    <row r="7" spans="1:5" ht="15.75">
      <c r="A7" s="1"/>
      <c r="B7" s="1"/>
      <c r="C7" s="1"/>
      <c r="D7" s="1"/>
      <c r="E7" s="1"/>
    </row>
    <row r="8" spans="1:5" ht="15.75">
      <c r="A8" s="326" t="s">
        <v>60</v>
      </c>
      <c r="B8" s="326"/>
      <c r="C8" s="326"/>
      <c r="D8" s="326"/>
      <c r="E8" s="326"/>
    </row>
    <row r="9" spans="1:5" ht="15.75">
      <c r="A9" s="1"/>
      <c r="B9" s="1"/>
      <c r="C9" s="1"/>
      <c r="D9" s="1"/>
      <c r="E9" s="1"/>
    </row>
    <row r="10" spans="1:5" ht="15.75">
      <c r="A10" s="30"/>
      <c r="B10" s="30"/>
      <c r="C10" s="116" t="s">
        <v>34</v>
      </c>
      <c r="D10" s="4"/>
      <c r="E10" s="30"/>
    </row>
    <row r="11" spans="1:5" ht="15.75">
      <c r="A11" s="117"/>
      <c r="B11" s="68"/>
      <c r="C11" s="116" t="s">
        <v>67</v>
      </c>
      <c r="D11" s="116" t="s">
        <v>8</v>
      </c>
      <c r="E11" s="4"/>
    </row>
    <row r="12" spans="1:5" ht="15.75">
      <c r="A12" s="117"/>
      <c r="B12" s="68"/>
      <c r="C12" s="116" t="s">
        <v>45</v>
      </c>
      <c r="D12" s="116" t="s">
        <v>6</v>
      </c>
      <c r="E12" s="4"/>
    </row>
    <row r="13" spans="1:5" ht="15.75">
      <c r="A13" s="117" t="s">
        <v>10</v>
      </c>
      <c r="B13" s="68" t="s">
        <v>14</v>
      </c>
      <c r="C13" s="157" t="s">
        <v>12</v>
      </c>
      <c r="D13" s="11" t="s">
        <v>11</v>
      </c>
      <c r="E13" s="117" t="s">
        <v>10</v>
      </c>
    </row>
    <row r="14" spans="1:5" ht="16.5" thickBot="1">
      <c r="A14" s="118" t="s">
        <v>13</v>
      </c>
      <c r="B14" s="119" t="s">
        <v>15</v>
      </c>
      <c r="C14" s="158" t="s">
        <v>16</v>
      </c>
      <c r="D14" s="10" t="s">
        <v>17</v>
      </c>
      <c r="E14" s="118" t="s">
        <v>13</v>
      </c>
    </row>
    <row r="15" spans="1:5" ht="15.75">
      <c r="A15" s="117"/>
      <c r="B15" s="70"/>
      <c r="C15" s="4"/>
      <c r="D15" s="4"/>
      <c r="E15" s="117"/>
    </row>
    <row r="16" spans="1:18" ht="15.75">
      <c r="A16" s="117">
        <v>1</v>
      </c>
      <c r="B16" s="70" t="s">
        <v>31</v>
      </c>
      <c r="C16" s="245">
        <v>702272.2648028512</v>
      </c>
      <c r="D16" s="154">
        <f>C16/$C$28</f>
        <v>0.4420113174188513</v>
      </c>
      <c r="E16" s="117">
        <v>1</v>
      </c>
      <c r="F16" s="139"/>
      <c r="G16" s="325"/>
      <c r="H16" s="139"/>
      <c r="I16" s="139"/>
      <c r="J16" s="139"/>
      <c r="K16" s="139"/>
      <c r="L16" s="139"/>
      <c r="M16" s="139"/>
      <c r="N16" s="139"/>
      <c r="O16" s="139"/>
      <c r="P16" s="139"/>
      <c r="Q16" s="122"/>
      <c r="R16" s="122"/>
    </row>
    <row r="17" spans="1:7" ht="15.75">
      <c r="A17" s="117">
        <f>A16+1</f>
        <v>2</v>
      </c>
      <c r="B17" s="70"/>
      <c r="C17" s="245"/>
      <c r="D17" s="154"/>
      <c r="E17" s="117">
        <f>E16+1</f>
        <v>2</v>
      </c>
      <c r="G17" s="325"/>
    </row>
    <row r="18" spans="1:7" ht="15.75">
      <c r="A18" s="117">
        <f aca="true" t="shared" si="0" ref="A18:A28">A17+1</f>
        <v>3</v>
      </c>
      <c r="B18" s="70" t="s">
        <v>38</v>
      </c>
      <c r="C18" s="245">
        <v>250682.90884033983</v>
      </c>
      <c r="D18" s="154">
        <f>C18/$C$28</f>
        <v>0.15778023473846656</v>
      </c>
      <c r="E18" s="117">
        <f aca="true" t="shared" si="1" ref="E18:E28">E17+1</f>
        <v>3</v>
      </c>
      <c r="G18" s="325"/>
    </row>
    <row r="19" spans="1:7" ht="15.75">
      <c r="A19" s="117">
        <f t="shared" si="0"/>
        <v>4</v>
      </c>
      <c r="B19" s="70"/>
      <c r="C19" s="245"/>
      <c r="D19" s="154"/>
      <c r="E19" s="117">
        <f t="shared" si="1"/>
        <v>4</v>
      </c>
      <c r="G19" s="325"/>
    </row>
    <row r="20" spans="1:7" ht="15.75">
      <c r="A20" s="117">
        <f t="shared" si="0"/>
        <v>5</v>
      </c>
      <c r="B20" s="70" t="s">
        <v>46</v>
      </c>
      <c r="C20" s="245">
        <v>604747.7178511656</v>
      </c>
      <c r="D20" s="154">
        <f>C20/$C$28</f>
        <v>0.3806292073181589</v>
      </c>
      <c r="E20" s="117">
        <f t="shared" si="1"/>
        <v>5</v>
      </c>
      <c r="G20" s="325"/>
    </row>
    <row r="21" spans="1:7" ht="15.75">
      <c r="A21" s="117">
        <f t="shared" si="0"/>
        <v>6</v>
      </c>
      <c r="B21" s="70"/>
      <c r="C21" s="245"/>
      <c r="D21" s="154"/>
      <c r="E21" s="117">
        <f t="shared" si="1"/>
        <v>6</v>
      </c>
      <c r="G21" s="325"/>
    </row>
    <row r="22" spans="1:7" ht="15.75">
      <c r="A22" s="117">
        <f t="shared" si="0"/>
        <v>7</v>
      </c>
      <c r="B22" s="70" t="s">
        <v>39</v>
      </c>
      <c r="C22" s="245">
        <v>20765.33115053256</v>
      </c>
      <c r="D22" s="154">
        <f>C22/$C$28</f>
        <v>0.013069733547091296</v>
      </c>
      <c r="E22" s="117">
        <f t="shared" si="1"/>
        <v>7</v>
      </c>
      <c r="G22" s="325"/>
    </row>
    <row r="23" spans="1:7" ht="15.75">
      <c r="A23" s="117">
        <f t="shared" si="0"/>
        <v>8</v>
      </c>
      <c r="B23" s="70"/>
      <c r="C23" s="245"/>
      <c r="D23" s="154"/>
      <c r="E23" s="117">
        <f t="shared" si="1"/>
        <v>8</v>
      </c>
      <c r="G23" s="325"/>
    </row>
    <row r="24" spans="1:7" ht="15.75">
      <c r="A24" s="117">
        <f t="shared" si="0"/>
        <v>9</v>
      </c>
      <c r="B24" s="70" t="s">
        <v>44</v>
      </c>
      <c r="C24" s="245">
        <v>10342.37366248078</v>
      </c>
      <c r="D24" s="154">
        <f>C24/$C$28</f>
        <v>0.006509506977432038</v>
      </c>
      <c r="E24" s="117">
        <f t="shared" si="1"/>
        <v>9</v>
      </c>
      <c r="G24" s="325"/>
    </row>
    <row r="25" spans="1:7" ht="15.75">
      <c r="A25" s="117">
        <f t="shared" si="0"/>
        <v>10</v>
      </c>
      <c r="B25" s="70"/>
      <c r="C25" s="161"/>
      <c r="D25" s="120"/>
      <c r="E25" s="117">
        <f t="shared" si="1"/>
        <v>10</v>
      </c>
      <c r="G25" s="324"/>
    </row>
    <row r="26" spans="1:7" ht="15.75">
      <c r="A26" s="117">
        <f t="shared" si="0"/>
        <v>11</v>
      </c>
      <c r="B26" s="70" t="s">
        <v>149</v>
      </c>
      <c r="C26" s="274" t="s">
        <v>151</v>
      </c>
      <c r="D26" s="275" t="s">
        <v>151</v>
      </c>
      <c r="E26" s="117">
        <f t="shared" si="1"/>
        <v>11</v>
      </c>
      <c r="G26" s="324"/>
    </row>
    <row r="27" spans="1:7" ht="15.75">
      <c r="A27" s="117">
        <f t="shared" si="0"/>
        <v>12</v>
      </c>
      <c r="B27" s="70"/>
      <c r="C27" s="161"/>
      <c r="D27" s="120"/>
      <c r="E27" s="117">
        <f t="shared" si="1"/>
        <v>12</v>
      </c>
      <c r="G27" s="324"/>
    </row>
    <row r="28" spans="1:8" ht="15.75">
      <c r="A28" s="117">
        <f t="shared" si="0"/>
        <v>13</v>
      </c>
      <c r="B28" s="70" t="s">
        <v>40</v>
      </c>
      <c r="C28" s="162">
        <f>SUM(C16:C24)</f>
        <v>1588810.5963073699</v>
      </c>
      <c r="D28" s="154">
        <f>SUM(D16:D24)</f>
        <v>1.0000000000000002</v>
      </c>
      <c r="E28" s="117">
        <f t="shared" si="1"/>
        <v>13</v>
      </c>
      <c r="G28" s="324"/>
      <c r="H28" s="204"/>
    </row>
    <row r="29" spans="1:5" ht="15.75">
      <c r="A29" s="117"/>
      <c r="B29" s="70"/>
      <c r="C29" s="162"/>
      <c r="D29" s="154"/>
      <c r="E29" s="117"/>
    </row>
    <row r="30" spans="1:2" ht="12.75">
      <c r="A30" s="67" t="s">
        <v>35</v>
      </c>
      <c r="B30" s="69"/>
    </row>
    <row r="31" spans="2:5" ht="12.75">
      <c r="B31" s="129" t="s">
        <v>118</v>
      </c>
      <c r="C31" s="246"/>
      <c r="D31" s="139"/>
      <c r="E31" s="139"/>
    </row>
    <row r="32" spans="1:5" ht="12.75">
      <c r="A32" s="67"/>
      <c r="B32" s="129" t="s">
        <v>193</v>
      </c>
      <c r="C32" s="138"/>
      <c r="D32" s="138"/>
      <c r="E32" s="138"/>
    </row>
    <row r="33" spans="2:5" ht="12.75">
      <c r="B33" s="129" t="s">
        <v>145</v>
      </c>
      <c r="C33" s="138"/>
      <c r="D33" s="138"/>
      <c r="E33" s="138"/>
    </row>
    <row r="34" ht="12.75">
      <c r="B34" s="129" t="s">
        <v>120</v>
      </c>
    </row>
  </sheetData>
  <sheetProtection/>
  <mergeCells count="6">
    <mergeCell ref="A8:E8"/>
    <mergeCell ref="A4:E4"/>
    <mergeCell ref="A5:E5"/>
    <mergeCell ref="A6:E6"/>
    <mergeCell ref="A2:E2"/>
    <mergeCell ref="A3:E3"/>
  </mergeCells>
  <printOptions horizontalCentered="1"/>
  <pageMargins left="0.4" right="0.4" top="1" bottom="0.75" header="0.5" footer="0.5"/>
  <pageSetup horizontalDpi="600" verticalDpi="600" orientation="portrait" scale="53" r:id="rId1"/>
  <headerFooter alignWithMargins="0">
    <oddFooter>&amp;L&amp;F
&amp;A&amp;R&amp;P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Sempra Energy Utilities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wsaxe</dc:creator>
  <cp:keywords/>
  <dc:description/>
  <cp:lastModifiedBy>Saxe, William</cp:lastModifiedBy>
  <cp:lastPrinted>2015-12-02T19:06:42Z</cp:lastPrinted>
  <dcterms:created xsi:type="dcterms:W3CDTF">2011-04-20T23:58:21Z</dcterms:created>
  <dcterms:modified xsi:type="dcterms:W3CDTF">2020-01-15T14:47:04Z</dcterms:modified>
  <cp:category/>
  <cp:version/>
  <cp:contentType/>
  <cp:contentStatus/>
</cp:coreProperties>
</file>